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120" windowWidth="20640" windowHeight="919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34"/>
  <c r="U20"/>
  <c r="Q20"/>
  <c r="R20" s="1"/>
  <c r="O20"/>
  <c r="M20"/>
  <c r="N20" s="1"/>
  <c r="X19"/>
  <c r="U19"/>
  <c r="O19"/>
  <c r="Q19" s="1"/>
  <c r="R19" s="1"/>
  <c r="M19"/>
  <c r="N19" s="1"/>
  <c r="X18"/>
  <c r="U18"/>
  <c r="Q18"/>
  <c r="R18" s="1"/>
  <c r="O18"/>
  <c r="M18"/>
  <c r="N18" s="1"/>
  <c r="X17"/>
  <c r="U17"/>
  <c r="Q17"/>
  <c r="R17" s="1"/>
  <c r="O17"/>
  <c r="M17"/>
  <c r="N17" s="1"/>
  <c r="X16"/>
  <c r="U16"/>
  <c r="Q16"/>
  <c r="R16" s="1"/>
  <c r="O16"/>
  <c r="M16"/>
  <c r="N16" s="1"/>
  <c r="X15"/>
  <c r="U15"/>
  <c r="O15"/>
  <c r="Q15" s="1"/>
  <c r="R15" s="1"/>
  <c r="M15"/>
  <c r="N15" s="1"/>
  <c r="V23" i="28"/>
  <c r="S23"/>
  <c r="O23"/>
  <c r="M23"/>
  <c r="K23"/>
  <c r="V22"/>
  <c r="S22"/>
  <c r="O22"/>
  <c r="M22"/>
  <c r="K22"/>
  <c r="V21"/>
  <c r="S21"/>
  <c r="O21"/>
  <c r="M21"/>
  <c r="K21"/>
  <c r="V20"/>
  <c r="S20"/>
  <c r="O20"/>
  <c r="M20"/>
  <c r="K20"/>
  <c r="V19"/>
  <c r="S19"/>
  <c r="O19"/>
  <c r="M19"/>
  <c r="K19"/>
  <c r="V18"/>
  <c r="S18"/>
  <c r="O18"/>
  <c r="M18"/>
  <c r="K18"/>
  <c r="V17"/>
  <c r="S17"/>
  <c r="O17"/>
  <c r="M17"/>
  <c r="K17"/>
  <c r="V16"/>
  <c r="S16"/>
  <c r="O16"/>
  <c r="M16"/>
  <c r="K16"/>
  <c r="V15"/>
  <c r="S15"/>
  <c r="M15"/>
  <c r="O15" s="1"/>
  <c r="K15"/>
  <c r="X18" i="2"/>
  <c r="V18"/>
  <c r="S18"/>
  <c r="M18"/>
  <c r="O18" s="1"/>
  <c r="K18"/>
  <c r="X17"/>
  <c r="V17"/>
  <c r="S17"/>
  <c r="M17"/>
  <c r="O17" s="1"/>
  <c r="K17"/>
  <c r="X16"/>
  <c r="V16"/>
  <c r="S16"/>
  <c r="M16"/>
  <c r="O16" s="1"/>
  <c r="K16"/>
  <c r="X15"/>
  <c r="V15"/>
  <c r="S15"/>
  <c r="M15"/>
  <c r="O15" s="1"/>
  <c r="K15"/>
  <c r="N54" i="1"/>
  <c r="N36"/>
  <c r="V20" i="34" l="1"/>
  <c r="AC20" s="1"/>
  <c r="V19"/>
  <c r="AC19" s="1"/>
  <c r="V18"/>
  <c r="AC18" s="1"/>
  <c r="V17"/>
  <c r="AC17" s="1"/>
  <c r="V16"/>
  <c r="AC16" s="1"/>
  <c r="V15"/>
  <c r="AC15" s="1"/>
  <c r="N30" i="1"/>
  <c r="Z13" i="15" l="1"/>
  <c r="X13"/>
  <c r="N55" i="1" l="1"/>
  <c r="N48"/>
  <c r="N47"/>
  <c r="N46"/>
  <c r="N45"/>
  <c r="N44"/>
  <c r="N43"/>
  <c r="N40"/>
  <c r="N38"/>
  <c r="N37"/>
  <c r="N35"/>
  <c r="N34"/>
  <c r="N33"/>
  <c r="N32"/>
  <c r="N31"/>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L22" i="34" l="1"/>
  <c r="K22"/>
  <c r="J22"/>
  <c r="J3"/>
  <c r="I22"/>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2"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T13" i="10" l="1"/>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V16" s="1"/>
  <c r="R16"/>
  <c r="Q16"/>
  <c r="O16"/>
  <c r="N16"/>
  <c r="M16"/>
  <c r="K16"/>
  <c r="J16"/>
  <c r="I16"/>
  <c r="H16"/>
  <c r="AC13" i="11" l="1"/>
  <c r="N13" i="5"/>
  <c r="V13"/>
  <c r="T13" i="3"/>
  <c r="L13" i="2"/>
  <c r="L13" i="4"/>
  <c r="T13"/>
  <c r="AC13" i="6"/>
  <c r="AC13" i="16"/>
  <c r="AC13" i="14"/>
  <c r="AC13" i="18"/>
  <c r="Z41" i="1"/>
  <c r="K41"/>
  <c r="J41"/>
  <c r="I41"/>
  <c r="H41"/>
  <c r="AC13" i="5" l="1"/>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25" i="28"/>
  <c r="U25"/>
  <c r="V25" s="1"/>
  <c r="R25"/>
  <c r="Q25"/>
  <c r="O25"/>
  <c r="N25"/>
  <c r="M25"/>
  <c r="J25"/>
  <c r="I25"/>
  <c r="H25"/>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N13" i="15" l="1"/>
  <c r="V13"/>
  <c r="X16" i="6"/>
  <c r="V16"/>
  <c r="J49" i="1"/>
  <c r="K49"/>
  <c r="L48"/>
  <c r="W48" s="1"/>
  <c r="H17" i="44"/>
  <c r="N49" i="1"/>
  <c r="P44"/>
  <c r="H16" i="44"/>
  <c r="I56" i="1"/>
  <c r="G17" i="44"/>
  <c r="H56" i="1"/>
  <c r="G15" i="44" s="1"/>
  <c r="V41" i="1"/>
  <c r="W41" s="1"/>
  <c r="K16" i="3"/>
  <c r="S16"/>
  <c r="O16"/>
  <c r="O16" i="26"/>
  <c r="O16" i="32"/>
  <c r="O16" i="38"/>
  <c r="K16" i="17"/>
  <c r="K16" i="32"/>
  <c r="K16" i="23"/>
  <c r="K16" i="10"/>
  <c r="X16" s="1"/>
  <c r="K16" i="19"/>
  <c r="K16" i="21"/>
  <c r="K16" i="26"/>
  <c r="K16" i="38"/>
  <c r="V16" s="1"/>
  <c r="L16" i="36"/>
  <c r="P16"/>
  <c r="O16" i="21"/>
  <c r="O16" i="22"/>
  <c r="O16" i="23"/>
  <c r="O16" i="20"/>
  <c r="O16" i="19"/>
  <c r="O16" i="18"/>
  <c r="O16" i="17"/>
  <c r="O16" i="16"/>
  <c r="O16" i="6"/>
  <c r="K16" i="4"/>
  <c r="O16" i="33"/>
  <c r="O16" i="31"/>
  <c r="AC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Y14" s="1"/>
  <c r="X20" i="2"/>
  <c r="V14" i="1"/>
  <c r="W14" s="1"/>
  <c r="V20" i="2"/>
  <c r="J16" i="44"/>
  <c r="K56" i="1"/>
  <c r="J15" i="44" s="1"/>
  <c r="L54" i="1"/>
  <c r="W54" s="1"/>
  <c r="V16" i="44" s="1"/>
  <c r="J17"/>
  <c r="L55" i="1"/>
  <c r="S25" i="28"/>
  <c r="K25"/>
  <c r="K17" i="44" l="1"/>
  <c r="W55" i="1"/>
  <c r="V17" i="44" s="1"/>
  <c r="K16"/>
  <c r="L56" i="1"/>
  <c r="O20" i="2"/>
  <c r="Z24" i="1"/>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R21"/>
  <c r="N21"/>
  <c r="K21"/>
  <c r="J21"/>
  <c r="V16"/>
  <c r="Z15"/>
  <c r="X15"/>
  <c r="V15"/>
  <c r="T15"/>
  <c r="S15"/>
  <c r="R15"/>
  <c r="P15"/>
  <c r="O15"/>
  <c r="N15"/>
  <c r="L15"/>
  <c r="K15"/>
  <c r="J15"/>
  <c r="P16"/>
  <c r="Z16"/>
  <c r="X16"/>
  <c r="S16"/>
  <c r="R16"/>
  <c r="O16"/>
  <c r="N16"/>
  <c r="L16"/>
  <c r="K16"/>
  <c r="J16"/>
  <c r="I16"/>
  <c r="P14" l="1"/>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40"/>
  <c r="Q46"/>
  <c r="L57"/>
  <c r="W13" i="44"/>
  <c r="Q47" i="1"/>
  <c r="Q38"/>
  <c r="Q37"/>
  <c r="Q32"/>
  <c r="P16" i="26"/>
  <c r="P16" i="16"/>
  <c r="P16" i="31"/>
  <c r="P16" i="38"/>
  <c r="P16" i="23"/>
  <c r="P16" i="25"/>
  <c r="P16" i="18"/>
  <c r="P16" i="21"/>
  <c r="K13" i="44"/>
  <c r="Q55" i="1"/>
  <c r="P17" i="44" s="1"/>
  <c r="L58" i="1"/>
  <c r="K18" i="44" s="1"/>
  <c r="P16" i="32"/>
  <c r="P16" i="17"/>
  <c r="P16" i="22"/>
  <c r="X58" i="1"/>
  <c r="Q16" i="36"/>
  <c r="P16" i="19"/>
  <c r="P16" i="20"/>
  <c r="P16" i="33"/>
  <c r="J57" i="1"/>
  <c r="I13" i="44"/>
  <c r="L17" i="28" l="1"/>
  <c r="L19"/>
  <c r="L21"/>
  <c r="L23"/>
  <c r="L15"/>
  <c r="T22"/>
  <c r="T20"/>
  <c r="T18"/>
  <c r="T16"/>
  <c r="L16"/>
  <c r="L18"/>
  <c r="L20"/>
  <c r="L22"/>
  <c r="T23"/>
  <c r="T21"/>
  <c r="T19"/>
  <c r="T17"/>
  <c r="T15"/>
  <c r="T18" i="2"/>
  <c r="L18"/>
  <c r="T17"/>
  <c r="L17"/>
  <c r="L16"/>
  <c r="T16"/>
  <c r="T15"/>
  <c r="L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5" i="28"/>
  <c r="L16" i="32"/>
  <c r="T16"/>
  <c r="L16" i="33"/>
  <c r="L16" i="31"/>
  <c r="T16" i="38"/>
  <c r="L25"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AD13" i="19" l="1"/>
  <c r="U58" i="1"/>
  <c r="T18" i="44" s="1"/>
  <c r="L18"/>
  <c r="Q16" i="24"/>
  <c r="T16"/>
  <c r="P16"/>
  <c r="W16"/>
  <c r="X16" s="1"/>
  <c r="Y16"/>
  <c r="U16"/>
  <c r="O16"/>
  <c r="N16"/>
  <c r="S16"/>
  <c r="N3"/>
  <c r="R16"/>
  <c r="R3"/>
  <c r="V3"/>
  <c r="V16"/>
  <c r="N3" i="34"/>
  <c r="Q22"/>
  <c r="O22"/>
  <c r="N22"/>
  <c r="S22"/>
  <c r="U22"/>
  <c r="T22"/>
  <c r="P22"/>
  <c r="S3" i="24"/>
  <c r="T3"/>
  <c r="W3"/>
  <c r="X3"/>
  <c r="U3"/>
  <c r="Y3"/>
  <c r="O3"/>
  <c r="P3"/>
  <c r="Q3"/>
  <c r="O3" i="34"/>
  <c r="T3"/>
  <c r="U3"/>
  <c r="Q3"/>
  <c r="P3"/>
  <c r="S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8" i="2" l="1"/>
  <c r="AC18" s="1"/>
  <c r="P16" i="28"/>
  <c r="AC16" s="1"/>
  <c r="P18"/>
  <c r="AC18" s="1"/>
  <c r="P20"/>
  <c r="AC20" s="1"/>
  <c r="P22"/>
  <c r="AC22" s="1"/>
  <c r="P15"/>
  <c r="AC15" s="1"/>
  <c r="P17"/>
  <c r="AC17" s="1"/>
  <c r="P19"/>
  <c r="AC19" s="1"/>
  <c r="P21"/>
  <c r="AC21" s="1"/>
  <c r="P23"/>
  <c r="AC23" s="1"/>
  <c r="P25"/>
  <c r="P16" i="2"/>
  <c r="AC16" s="1"/>
  <c r="P17"/>
  <c r="AC17" s="1"/>
  <c r="Q36" i="1"/>
  <c r="P15" i="2"/>
  <c r="AC15" s="1"/>
  <c r="Q44" i="1"/>
  <c r="Q48"/>
  <c r="Q49"/>
  <c r="Q43"/>
  <c r="Q45"/>
  <c r="Q35"/>
  <c r="Q34"/>
  <c r="Q56"/>
  <c r="P15" i="44" s="1"/>
  <c r="Q54" i="1"/>
  <c r="P16" i="44" s="1"/>
  <c r="X3" i="34"/>
  <c r="Q57" i="1"/>
  <c r="P20" i="2"/>
  <c r="R16" i="15"/>
  <c r="Q24" i="1" s="1"/>
  <c r="P16" i="14"/>
  <c r="Q23" i="1" s="1"/>
  <c r="P16" i="11"/>
  <c r="Q22" i="1" s="1"/>
  <c r="P16" i="10"/>
  <c r="Q21" i="1" s="1"/>
  <c r="P16" i="6"/>
  <c r="Q20" i="1" s="1"/>
  <c r="Q25"/>
  <c r="R16" i="5"/>
  <c r="Q17" i="1" s="1"/>
  <c r="P16" i="3"/>
  <c r="Q15" i="1" s="1"/>
  <c r="P16" i="4"/>
  <c r="Q16" i="1" s="1"/>
  <c r="Q18"/>
  <c r="Q26"/>
  <c r="P13" i="44" s="1"/>
  <c r="Q31" i="1"/>
  <c r="Q30"/>
  <c r="Q50"/>
  <c r="P14" i="44" s="1"/>
  <c r="Q33" i="1"/>
  <c r="Q39"/>
  <c r="O18" i="44"/>
  <c r="Q58" i="1"/>
  <c r="P18" i="44" s="1"/>
  <c r="Y22" i="34" l="1"/>
  <c r="W3"/>
  <c r="Y3"/>
  <c r="W22"/>
  <c r="X22" s="1"/>
  <c r="V3"/>
  <c r="R3"/>
  <c r="V22"/>
  <c r="R22"/>
  <c r="AD13" i="15"/>
  <c r="H24" i="1" s="1"/>
  <c r="AD13" i="14"/>
  <c r="H23" i="1" s="1"/>
  <c r="AD13" i="11"/>
  <c r="H22" i="1" s="1"/>
  <c r="AD13" i="10"/>
  <c r="H21" i="1" s="1"/>
  <c r="AD13" i="6"/>
  <c r="H20" i="1" s="1"/>
  <c r="AD13" i="3"/>
  <c r="AD13" i="2"/>
  <c r="H14" i="1" s="1"/>
  <c r="AE13" i="5"/>
  <c r="Q14" i="1"/>
  <c r="AD13" i="4"/>
  <c r="AD1" i="3"/>
  <c r="H25" i="1" l="1"/>
  <c r="AD13" i="5"/>
  <c r="H17" i="1" s="1"/>
  <c r="H16"/>
  <c r="H15"/>
  <c r="H18" l="1"/>
  <c r="H26" s="1"/>
  <c r="H58" s="1"/>
  <c r="G18" i="44" s="1"/>
  <c r="H57" i="1" l="1"/>
  <c r="G13" i="44"/>
</calcChain>
</file>

<file path=xl/sharedStrings.xml><?xml version="1.0" encoding="utf-8"?>
<sst xmlns="http://schemas.openxmlformats.org/spreadsheetml/2006/main" count="10037" uniqueCount="1106">
  <si>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</si>
  <si>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</si>
  <si>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</si>
  <si>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</si>
  <si>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</si>
  <si>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</si>
  <si>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</si>
  <si>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</si>
  <si>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</si>
  <si>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</si>
  <si>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</si>
  <si>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</si>
  <si>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</si>
  <si>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</si>
  <si>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</si>
  <si>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</si>
  <si>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</si>
  <si>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</si>
  <si>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</si>
  <si>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</si>
  <si>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</si>
  <si>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</si>
  <si>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</si>
  <si>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</si>
  <si>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</si>
  <si>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</si>
  <si>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</si>
  <si>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</si>
  <si>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</si>
  <si>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</si>
  <si>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</si>
  <si>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</si>
  <si>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</si>
  <si>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</si>
  <si>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</si>
  <si>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</si>
  <si>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</si>
  <si>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</si>
  <si>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</si>
  <si>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</si>
  <si>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</si>
  <si>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</si>
  <si>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</si>
  <si>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</si>
  <si>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</si>
  <si>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</si>
  <si>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</si>
  <si>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</si>
  <si>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</si>
  <si>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</si>
  <si>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</si>
  <si>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</si>
  <si>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</si>
  <si>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</si>
  <si>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</si>
  <si>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</si>
  <si>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</si>
  <si>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</si>
  <si>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</si>
  <si>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</si>
  <si>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</si>
  <si>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</si>
  <si>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</si>
  <si>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</si>
  <si>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</si>
  <si>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</si>
  <si>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</si>
  <si>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</si>
  <si>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</si>
  <si>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</si>
  <si>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</si>
  <si>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</si>
  <si>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</si>
  <si>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</si>
  <si>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</si>
  <si>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</si>
  <si>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</si>
  <si>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</si>
  <si>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</si>
  <si>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</si>
  <si>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</si>
  <si>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</si>
  <si>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</si>
  <si>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</si>
  <si>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</si>
  <si>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</si>
  <si>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</si>
  <si>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</si>
  <si>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</si>
  <si>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</si>
  <si>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</si>
  <si>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</si>
  <si>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</si>
  <si>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</si>
  <si>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</si>
  <si>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</si>
  <si>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</si>
  <si>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</si>
  <si>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</si>
  <si>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</si>
  <si>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</si>
  <si>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</si>
  <si>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</si>
  <si>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</si>
  <si>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</si>
  <si>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</si>
  <si>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</si>
  <si>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</si>
  <si>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</si>
  <si>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</si>
  <si>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</si>
  <si>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</si>
  <si>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</si>
  <si>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</si>
  <si>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</si>
  <si>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</si>
  <si>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</si>
  <si>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</si>
  <si>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</si>
  <si>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</si>
  <si>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</si>
  <si>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</si>
  <si>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</si>
  <si>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</si>
  <si>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</si>
  <si>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</si>
  <si>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</si>
  <si>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</si>
  <si>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</si>
  <si>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</si>
  <si>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</si>
  <si>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</si>
  <si>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</si>
  <si>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</si>
  <si>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</si>
  <si>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</si>
  <si>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</si>
  <si>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</si>
  <si>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</si>
  <si>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</si>
  <si>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</si>
  <si>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</si>
  <si>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</si>
  <si>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</si>
  <si>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</si>
  <si>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</si>
  <si>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</si>
  <si>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</si>
  <si>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</si>
  <si>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</si>
  <si>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</si>
  <si>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</si>
  <si>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</si>
  <si>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</si>
  <si>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</si>
  <si>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</si>
  <si>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</si>
  <si>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</si>
  <si>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</si>
  <si>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</si>
  <si>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</si>
  <si>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</si>
  <si>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</si>
  <si>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</si>
  <si>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</si>
  <si>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</si>
  <si>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</si>
  <si>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</si>
  <si>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</si>
  <si>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</si>
  <si>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</si>
  <si>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</si>
  <si>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</si>
  <si>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</si>
  <si>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</si>
  <si>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</si>
  <si>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</si>
  <si>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</si>
  <si>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</si>
  <si>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</si>
  <si>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</si>
  <si>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</si>
  <si>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</si>
  <si>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</si>
  <si>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</si>
  <si>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</si>
  <si>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</si>
  <si>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</si>
  <si>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</si>
  <si>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</si>
  <si>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</si>
  <si>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</si>
  <si>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</si>
  <si>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</si>
  <si>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</si>
  <si>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</si>
  <si>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</si>
  <si>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</si>
  <si>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</si>
  <si>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</si>
  <si>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</si>
  <si>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</si>
  <si>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</si>
  <si>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</si>
  <si>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</si>
  <si>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</si>
  <si>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</si>
  <si>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</si>
  <si>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</si>
  <si>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</si>
  <si>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</si>
  <si>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</si>
  <si>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</si>
  <si>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</si>
  <si>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</si>
  <si>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</si>
  <si>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</si>
  <si>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</si>
  <si>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</si>
  <si>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</si>
  <si>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</si>
  <si>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</si>
  <si>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</si>
  <si>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</si>
  <si>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</si>
  <si>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</si>
  <si>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</si>
  <si>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</si>
  <si>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</si>
  <si>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</si>
  <si>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</si>
  <si>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</si>
  <si>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</si>
  <si>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</si>
  <si>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</si>
  <si>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</si>
  <si>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</si>
  <si>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</si>
  <si>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</si>
  <si>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</si>
  <si>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</si>
  <si>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</si>
  <si>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</si>
  <si>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</si>
  <si>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</si>
  <si>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</si>
  <si>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</si>
  <si>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</si>
  <si>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</si>
  <si>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</si>
  <si>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</si>
  <si>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</si>
  <si>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</si>
  <si>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</si>
  <si>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</si>
  <si>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</si>
  <si>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</si>
  <si>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</si>
  <si>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</si>
  <si>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</si>
  <si>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</si>
  <si>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</si>
  <si>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</si>
  <si>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</si>
  <si>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</si>
  <si>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</si>
  <si>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</si>
  <si>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</si>
  <si>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</si>
  <si>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</si>
  <si>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</si>
  <si>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</si>
  <si>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</si>
  <si>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</si>
  <si>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</si>
  <si>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</si>
  <si>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</si>
  <si>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</si>
  <si>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</si>
  <si>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</si>
  <si>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</si>
  <si>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</si>
  <si>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</si>
  <si>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</si>
  <si>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</si>
  <si>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</si>
  <si>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</si>
  <si>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</si>
  <si>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</si>
  <si>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</si>
  <si>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</si>
  <si>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</si>
  <si>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</si>
  <si>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</si>
  <si>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</si>
  <si>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</si>
  <si>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</si>
  <si>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</si>
  <si>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</si>
  <si>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</si>
  <si>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</si>
  <si>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</si>
  <si>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</si>
  <si>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</si>
  <si>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</si>
  <si>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</si>
  <si>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</si>
  <si>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</si>
  <si>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</si>
  <si>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</si>
  <si>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</si>
  <si>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</si>
  <si>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</si>
  <si>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</si>
  <si>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</si>
  <si>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</si>
  <si>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</si>
  <si>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</si>
  <si>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</si>
  <si>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</si>
  <si>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</si>
  <si>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</si>
  <si>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</si>
  <si>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</si>
  <si>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</si>
  <si>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</si>
  <si>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</si>
  <si>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</si>
  <si>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</si>
  <si>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</si>
  <si>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</si>
  <si>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</si>
  <si>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</si>
  <si>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</si>
  <si>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</si>
  <si>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</si>
  <si>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</si>
  <si>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</si>
  <si>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</si>
  <si>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</si>
  <si>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</si>
  <si>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</si>
  <si>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</si>
  <si>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</si>
  <si>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</si>
  <si>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</si>
  <si>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</si>
  <si>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</si>
  <si>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</si>
  <si>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</si>
  <si>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</si>
  <si>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</si>
  <si>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</si>
  <si>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</si>
  <si>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</si>
  <si>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</si>
  <si>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</si>
  <si>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</si>
  <si>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</si>
  <si>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</si>
  <si>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</si>
  <si>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</si>
  <si>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</si>
  <si>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</si>
  <si>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</si>
  <si>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</si>
  <si>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</si>
  <si>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</si>
  <si>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</si>
  <si>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</si>
  <si>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</si>
  <si>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</si>
  <si>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</si>
  <si>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</si>
  <si>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</si>
  <si>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</si>
  <si>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</si>
  <si>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</si>
  <si>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</si>
  <si>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</si>
  <si>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</si>
  <si>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</si>
  <si>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</si>
  <si>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</si>
  <si>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</si>
  <si>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</si>
  <si>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</si>
  <si>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</si>
  <si>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</si>
  <si>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</si>
  <si>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</si>
  <si>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</si>
  <si>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</si>
  <si>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</si>
  <si>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</si>
  <si>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</si>
  <si>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</si>
  <si>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</si>
  <si>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</si>
  <si>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</si>
  <si>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</si>
  <si>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</si>
  <si>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</si>
  <si>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</si>
  <si>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</si>
  <si>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</si>
  <si>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</si>
  <si>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</si>
  <si>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</si>
  <si>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</si>
  <si>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</si>
  <si>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</si>
  <si>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</si>
  <si>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</si>
  <si>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</si>
  <si>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</si>
  <si>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</si>
  <si>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</si>
  <si>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</si>
  <si>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</si>
  <si>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</si>
  <si>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</si>
  <si>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</si>
  <si>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</si>
  <si>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</si>
  <si>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</si>
  <si>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</si>
  <si>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</si>
  <si>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</si>
  <si>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</si>
  <si>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</si>
  <si>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</si>
  <si>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</si>
  <si>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</si>
  <si>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</si>
  <si>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</si>
  <si>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</si>
  <si>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</si>
  <si>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</si>
  <si>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</si>
  <si>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</si>
  <si>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</si>
  <si>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</si>
  <si>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</si>
  <si>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</si>
  <si>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</si>
  <si>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</si>
  <si>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</si>
  <si>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</si>
  <si>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</si>
  <si>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</si>
  <si>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</si>
  <si>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</si>
  <si>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</si>
  <si>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</si>
  <si>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</si>
  <si>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</si>
  <si>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</si>
  <si>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</si>
  <si>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</si>
  <si>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</si>
  <si>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</si>
  <si>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</si>
  <si>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</si>
  <si>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</si>
  <si>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</si>
  <si>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</si>
  <si>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</si>
  <si>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</si>
  <si>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</si>
  <si>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</si>
  <si>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</si>
  <si>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</si>
  <si>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</si>
  <si>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</si>
  <si>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</si>
  <si>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</si>
  <si>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</si>
  <si>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</si>
  <si>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</si>
  <si>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</si>
  <si>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</si>
  <si>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</si>
  <si>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</si>
  <si>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</si>
  <si>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</si>
  <si>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</si>
  <si>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</si>
  <si>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</si>
  <si>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</si>
  <si>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</si>
  <si>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</si>
  <si>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</si>
  <si>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</si>
  <si>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</si>
  <si>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</si>
  <si>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</si>
  <si>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</si>
  <si>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</si>
  <si>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</si>
  <si>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</si>
  <si>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</si>
  <si>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</si>
  <si>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</si>
  <si>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</si>
  <si>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</si>
  <si>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</si>
  <si>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</si>
  <si>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</si>
  <si>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</si>
  <si>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</si>
  <si>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</si>
  <si>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</si>
  <si>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</si>
  <si>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</si>
  <si>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</si>
  <si>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</si>
  <si>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</si>
  <si>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</si>
  <si>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</si>
  <si>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</si>
  <si>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</si>
  <si>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</si>
  <si>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</si>
  <si>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</si>
  <si>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</si>
  <si>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</si>
  <si>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</si>
  <si>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</si>
  <si>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</si>
  <si>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</si>
  <si>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</si>
  <si>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</si>
  <si>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</si>
  <si>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</si>
  <si>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</si>
  <si>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</si>
  <si>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</si>
  <si>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</si>
  <si>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</si>
  <si>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</si>
  <si>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</si>
  <si>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</si>
  <si>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</si>
  <si>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</si>
  <si>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</si>
  <si>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</si>
  <si>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</si>
  <si>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</si>
  <si>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</si>
  <si>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</si>
  <si>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</si>
  <si>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</si>
  <si>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</si>
  <si>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</si>
  <si>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</si>
  <si>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</si>
  <si>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</si>
  <si>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</si>
  <si>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</si>
  <si>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</si>
  <si>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</si>
  <si>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</si>
  <si>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</si>
  <si>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</si>
  <si>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</si>
  <si>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</si>
  <si>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</si>
  <si>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</si>
  <si>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</si>
  <si>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</si>
  <si>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</si>
  <si>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</si>
  <si>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</si>
  <si>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</si>
  <si>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</si>
  <si>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</si>
  <si>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</si>
  <si>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</si>
  <si>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</si>
  <si>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</si>
  <si>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</si>
  <si>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</si>
  <si>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</si>
  <si>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</si>
  <si>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</si>
  <si>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</si>
  <si>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</si>
  <si>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</si>
  <si>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</si>
  <si>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</si>
  <si>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</si>
  <si>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</si>
  <si>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</si>
  <si>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</si>
  <si>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</si>
  <si>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</si>
  <si>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</si>
  <si>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</si>
  <si>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</si>
  <si>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</si>
  <si>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</si>
  <si>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</si>
  <si>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</si>
  <si>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</si>
  <si>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</si>
  <si>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</si>
  <si>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</si>
  <si>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</si>
  <si>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</si>
  <si>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</si>
  <si>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</si>
  <si>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</si>
  <si>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</si>
  <si>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</si>
  <si>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</si>
  <si>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</si>
  <si>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</si>
  <si>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</si>
  <si>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</si>
  <si>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</si>
  <si>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</si>
  <si>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</si>
  <si>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</si>
  <si>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</si>
  <si>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</si>
  <si>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</si>
  <si>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</si>
  <si>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</si>
  <si>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</si>
  <si>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</si>
  <si>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</si>
  <si>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</si>
  <si>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</si>
  <si>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</si>
  <si>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</si>
  <si>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</si>
  <si>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</si>
  <si>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</si>
  <si>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</si>
  <si>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</si>
  <si>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</si>
  <si>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</si>
  <si>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</si>
  <si>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</si>
  <si>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</si>
  <si>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</si>
  <si>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</si>
  <si>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</si>
  <si>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</si>
  <si>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</si>
  <si>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</si>
  <si>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</si>
  <si>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</si>
  <si>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</si>
  <si>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</si>
  <si>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</si>
  <si>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</si>
  <si>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</si>
  <si>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</si>
  <si>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</si>
  <si>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</si>
  <si>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</si>
  <si>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</si>
  <si>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</si>
  <si>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</si>
  <si>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</si>
  <si>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</si>
  <si>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</si>
  <si>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</si>
  <si>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</si>
  <si>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</si>
  <si>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</si>
  <si>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</si>
  <si>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</si>
  <si>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</si>
  <si>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</si>
  <si>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</si>
  <si>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</si>
  <si>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</si>
  <si>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</si>
  <si>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</si>
  <si>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</si>
  <si>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</si>
  <si>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</si>
  <si>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</si>
  <si>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</si>
  <si>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</si>
  <si>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</si>
  <si>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</si>
  <si>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</si>
  <si>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</si>
  <si>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</si>
  <si>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</si>
  <si>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</si>
  <si>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</si>
  <si>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</si>
  <si>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</si>
  <si>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</si>
  <si>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</si>
  <si>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</si>
  <si>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</si>
  <si>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</si>
  <si>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</si>
  <si>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</si>
  <si>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</si>
  <si>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</si>
  <si>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</si>
  <si>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</si>
  <si>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</si>
  <si>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</si>
  <si>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</si>
  <si>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</si>
  <si>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</si>
  <si>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</si>
  <si>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</si>
  <si>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</si>
  <si>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</si>
  <si>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</si>
  <si>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</si>
  <si>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</si>
  <si>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</si>
  <si>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</si>
  <si>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</si>
  <si>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</si>
  <si>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</si>
  <si>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</si>
  <si>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</si>
  <si>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</si>
  <si>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</si>
  <si>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</si>
  <si>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</si>
  <si>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</si>
  <si>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</si>
  <si>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</si>
  <si>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</si>
  <si>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</si>
  <si>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</si>
  <si>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</si>
  <si>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</si>
  <si>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</si>
  <si>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</si>
  <si>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</si>
  <si>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</si>
  <si>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</si>
  <si>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</si>
  <si>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</si>
  <si>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</si>
  <si>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</si>
  <si>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</si>
  <si>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</si>
  <si>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</si>
  <si>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</si>
  <si>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</si>
  <si>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</si>
  <si>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</si>
  <si>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</si>
  <si>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</si>
  <si>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</si>
  <si>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</si>
  <si>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</si>
  <si>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</si>
  <si>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</si>
  <si>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</si>
  <si>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</si>
  <si>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</si>
  <si>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</si>
  <si>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</si>
  <si>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</si>
  <si>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</si>
  <si>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</si>
  <si>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</si>
  <si>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</si>
  <si>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</si>
  <si>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</si>
  <si>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</si>
  <si>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</si>
  <si>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</si>
  <si>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</si>
  <si>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</si>
  <si>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</si>
  <si>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</si>
  <si>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</si>
  <si>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</si>
  <si>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</si>
  <si>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</si>
  <si>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</si>
  <si>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</si>
  <si>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</si>
  <si>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</si>
  <si>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</si>
  <si>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</si>
  <si>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</si>
  <si>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</si>
  <si>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</si>
  <si>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</si>
  <si>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</si>
  <si>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</si>
  <si>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</si>
  <si>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</si>
  <si>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</si>
  <si>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</si>
  <si>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</si>
  <si>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</si>
  <si>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</si>
  <si>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</si>
  <si>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</si>
  <si>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</si>
  <si>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</si>
  <si>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</si>
  <si>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</si>
  <si>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</si>
  <si>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</si>
  <si>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</si>
  <si>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</si>
  <si>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</si>
  <si>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</si>
  <si>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</si>
  <si>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</si>
  <si>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</si>
  <si>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</si>
  <si>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</si>
  <si>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</si>
  <si>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</si>
  <si>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</si>
  <si>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</si>
  <si>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</si>
  <si>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</si>
  <si>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</si>
  <si>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</si>
  <si>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</si>
  <si>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</si>
  <si>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</si>
  <si>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</si>
  <si>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</si>
  <si>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</si>
  <si>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</si>
  <si>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</si>
  <si>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</si>
  <si>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</si>
  <si>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</si>
  <si>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</si>
  <si>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</si>
  <si>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</si>
  <si>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</si>
  <si>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</si>
  <si>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</si>
  <si>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</si>
  <si>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</si>
  <si>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</si>
  <si>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</si>
  <si>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</si>
  <si>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</si>
  <si>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</si>
  <si>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</si>
  <si>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</si>
  <si>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</si>
  <si>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</si>
  <si>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</si>
  <si>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</si>
  <si>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</si>
  <si>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</si>
  <si>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</si>
  <si>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</si>
  <si>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</si>
  <si>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</si>
  <si>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</si>
  <si>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</si>
  <si>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</si>
  <si>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</si>
  <si>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</si>
  <si>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</si>
  <si>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</si>
  <si>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</si>
  <si>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</si>
  <si>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</si>
  <si>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</si>
  <si>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</si>
  <si>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</si>
  <si>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</si>
  <si>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</si>
  <si>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</si>
  <si>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</si>
  <si>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</si>
  <si>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</si>
  <si>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</si>
  <si>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</si>
  <si>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</si>
  <si>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</si>
  <si>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</si>
  <si>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</si>
  <si>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</si>
  <si>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</si>
  <si>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</si>
  <si>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</si>
  <si>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</si>
  <si>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</si>
  <si>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</si>
  <si>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</si>
  <si>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</si>
  <si>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</si>
  <si>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</si>
  <si>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</si>
  <si>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</si>
  <si>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</si>
  <si>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</si>
  <si>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</si>
  <si>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</si>
  <si>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</si>
  <si>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</si>
  <si>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</si>
  <si>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</si>
  <si>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</si>
  <si>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</si>
  <si>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</si>
  <si>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</si>
  <si>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</si>
  <si>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</si>
  <si>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</si>
  <si>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</si>
  <si>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</si>
  <si>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</si>
  <si>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</si>
  <si>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</si>
  <si>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</si>
  <si>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</si>
  <si>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</si>
  <si>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</si>
  <si>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</si>
  <si>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</si>
  <si>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</si>
  <si>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</si>
  <si>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</si>
  <si>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</si>
  <si>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</si>
  <si>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</si>
  <si>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</si>
  <si>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</si>
  <si>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</si>
  <si>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</si>
  <si>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</si>
  <si>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</si>
  <si>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</si>
  <si>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</si>
  <si>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</si>
  <si>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</si>
  <si>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</si>
  <si>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</si>
  <si>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</si>
  <si>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</si>
  <si>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</si>
  <si>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</si>
  <si>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</si>
  <si>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</si>
  <si>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</si>
  <si>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</si>
  <si>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</si>
  <si>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</si>
  <si>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</si>
  <si>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</si>
  <si>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</si>
  <si>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</si>
  <si>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</si>
  <si>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</si>
  <si>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</si>
  <si>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</si>
  <si>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</si>
  <si>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</si>
  <si>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</si>
  <si>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</si>
  <si>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</si>
  <si>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</si>
  <si>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</si>
  <si>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</si>
  <si>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</si>
  <si>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</si>
  <si>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</si>
  <si>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</si>
  <si>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</si>
  <si>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</si>
  <si>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</si>
  <si>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</si>
  <si>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</si>
  <si>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</si>
  <si>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</si>
  <si>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</si>
  <si>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</si>
  <si>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</si>
  <si>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</si>
  <si>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</si>
  <si>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</si>
  <si>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</si>
  <si>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</si>
  <si>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</si>
  <si>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</si>
  <si>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</si>
  <si>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</si>
  <si>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</si>
  <si>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</si>
  <si>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</si>
  <si>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</si>
  <si>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</si>
  <si>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</si>
  <si>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</si>
  <si>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</si>
  <si>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</si>
  <si>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</si>
  <si>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</si>
  <si>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</si>
  <si>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</si>
  <si>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</si>
  <si>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</si>
  <si>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</si>
  <si>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</si>
  <si>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</si>
  <si>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</si>
  <si>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</si>
  <si>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</si>
  <si>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</si>
  <si>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</si>
  <si>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</si>
  <si>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</si>
  <si>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</si>
  <si>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</si>
  <si>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</si>
  <si>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</si>
  <si>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</si>
  <si>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</si>
  <si>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</si>
  <si>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</si>
  <si>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</si>
  <si>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</si>
  <si>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</si>
  <si>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</si>
  <si>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</si>
  <si>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</si>
  <si>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</si>
  <si>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</si>
  <si>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</si>
  <si>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</si>
  <si>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</si>
  <si>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</si>
  <si>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</si>
  <si>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</si>
  <si>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</si>
  <si>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</si>
  <si>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</si>
  <si>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</si>
  <si>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</si>
  <si>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</si>
  <si>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</si>
  <si>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</si>
  <si>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</si>
  <si>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</si>
  <si>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</si>
  <si>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</si>
  <si>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</si>
  <si>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</si>
  <si>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</si>
  <si>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</si>
  <si>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</si>
  <si>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</si>
  <si>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</si>
  <si>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</si>
  <si>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</si>
  <si>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</si>
  <si>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</si>
  <si>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</si>
  <si>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</si>
  <si>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</si>
  <si>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</si>
  <si>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</si>
  <si>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115097099100115097</t>
  </si>
  <si>
    <t>115097100097115</t>
  </si>
  <si>
    <t>100097115100</t>
  </si>
  <si>
    <t>SAVEN TECHNOLOGIES LIMITED</t>
  </si>
  <si>
    <t>31-12-2017</t>
  </si>
  <si>
    <t xml:space="preserve">J NRUPENDER RAO </t>
  </si>
  <si>
    <t>J. RAJYALAKSHMI</t>
  </si>
  <si>
    <t>J. AVANTI RAO</t>
  </si>
  <si>
    <t>ADITYA NARSING RAO</t>
  </si>
  <si>
    <t>ACDPJ5615R</t>
  </si>
  <si>
    <t>ACDPJ5614Q</t>
  </si>
  <si>
    <t>ADVPJ6062H</t>
  </si>
  <si>
    <t>ADVPJ6046K</t>
  </si>
  <si>
    <t>MURTY GUDIPATI</t>
  </si>
  <si>
    <t>AKYPG1529Q</t>
  </si>
  <si>
    <t>SABBIR KUTBUDDIN KHANSAHEB</t>
  </si>
  <si>
    <t>AMIPK5122D</t>
  </si>
  <si>
    <t>JAGANNATH D DEVADIGA</t>
  </si>
  <si>
    <t>ABDPD7148N</t>
  </si>
  <si>
    <t>VARSHA RAMESH PARIKH</t>
  </si>
  <si>
    <t>AAFPP0419D</t>
  </si>
  <si>
    <t>NISHITH RAMESH PARIKH</t>
  </si>
  <si>
    <t>AHJPP8613Q</t>
  </si>
  <si>
    <t>KUTBUDDIN KHANSAHEB</t>
  </si>
  <si>
    <t>AMIPK5123C</t>
  </si>
  <si>
    <t>RHEA SHAH</t>
  </si>
  <si>
    <t>BJHPS9599H</t>
  </si>
  <si>
    <t>RAMASWAMYREDDY PEDINEKULUVA</t>
  </si>
  <si>
    <t>ARAPP6333N</t>
  </si>
  <si>
    <t>VIJAYA LAKSHMI YALAMANCHILI</t>
  </si>
  <si>
    <t>ABDPY6409K</t>
  </si>
  <si>
    <t>ZZZZZ9999Z</t>
  </si>
  <si>
    <t>077114046032068104097114105032077111104097109109097100032065108045082111111109105032105115032097032070111114101105103110032073110100105118105100117097108046</t>
  </si>
  <si>
    <t>DHARI MOHAMMAD AL-ROOMI</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</si>
</sst>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4"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409" t="s">
        <v>1006</v>
      </c>
      <c r="F6" s="410"/>
      <c r="G6" s="410"/>
      <c r="H6" s="410"/>
      <c r="I6" s="411"/>
    </row>
    <row r="7" spans="4:10">
      <c r="E7" s="298" t="s">
        <v>1007</v>
      </c>
      <c r="F7" s="412" t="s">
        <v>1008</v>
      </c>
      <c r="G7" s="413"/>
      <c r="H7" s="413"/>
      <c r="I7" s="414"/>
    </row>
    <row r="8" spans="4:10">
      <c r="E8" s="298" t="s">
        <v>1009</v>
      </c>
      <c r="F8" s="412" t="s">
        <v>1010</v>
      </c>
      <c r="G8" s="415"/>
      <c r="H8" s="415"/>
      <c r="I8" s="416"/>
    </row>
    <row r="9" spans="4:10">
      <c r="E9" s="298" t="s">
        <v>1011</v>
      </c>
      <c r="F9" s="412" t="s">
        <v>1012</v>
      </c>
      <c r="G9" s="415"/>
      <c r="H9" s="415"/>
      <c r="I9" s="416"/>
    </row>
    <row r="10" spans="4:10">
      <c r="E10" s="298" t="s">
        <v>1013</v>
      </c>
      <c r="F10" s="412" t="s">
        <v>1043</v>
      </c>
      <c r="G10" s="415"/>
      <c r="H10" s="415"/>
      <c r="I10" s="416"/>
    </row>
    <row r="11" spans="4:10">
      <c r="I11" s="297"/>
    </row>
    <row r="12" spans="4:10">
      <c r="I12" s="297"/>
    </row>
    <row r="13" spans="4:10">
      <c r="D13" s="417" t="s">
        <v>1014</v>
      </c>
      <c r="E13" s="418"/>
      <c r="F13" s="418"/>
      <c r="G13" s="418"/>
      <c r="H13" s="418"/>
      <c r="I13" s="418"/>
      <c r="J13" s="419"/>
    </row>
    <row r="14" spans="4:10" ht="27.75" customHeight="1">
      <c r="D14" s="420" t="s">
        <v>1015</v>
      </c>
      <c r="E14" s="420"/>
      <c r="F14" s="420"/>
      <c r="G14" s="420"/>
      <c r="H14" s="420"/>
      <c r="I14" s="420"/>
      <c r="J14" s="420"/>
    </row>
    <row r="15" spans="4:10" ht="45" customHeight="1">
      <c r="D15" s="421" t="s">
        <v>1016</v>
      </c>
      <c r="E15" s="421"/>
      <c r="F15" s="421"/>
      <c r="G15" s="421"/>
      <c r="H15" s="421"/>
      <c r="I15" s="421"/>
      <c r="J15" s="421"/>
    </row>
    <row r="16" spans="4:10">
      <c r="D16" s="299"/>
      <c r="E16" s="299"/>
      <c r="F16" s="299"/>
      <c r="G16" s="299"/>
      <c r="H16" s="299"/>
      <c r="I16" s="300"/>
      <c r="J16" s="299"/>
    </row>
    <row r="17" spans="4:10">
      <c r="I17" s="297"/>
    </row>
    <row r="18" spans="4:10" ht="15.75">
      <c r="D18" s="380" t="s">
        <v>1017</v>
      </c>
      <c r="E18" s="381"/>
      <c r="F18" s="381"/>
      <c r="G18" s="381"/>
      <c r="H18" s="381"/>
      <c r="I18" s="381"/>
      <c r="J18" s="382"/>
    </row>
    <row r="19" spans="4:10" ht="18" customHeight="1">
      <c r="D19" s="389" t="s">
        <v>1018</v>
      </c>
      <c r="E19" s="422"/>
      <c r="F19" s="422"/>
      <c r="G19" s="422"/>
      <c r="H19" s="422"/>
      <c r="I19" s="422"/>
      <c r="J19" s="423"/>
    </row>
    <row r="20" spans="4:10" ht="16.5" customHeight="1">
      <c r="D20" s="424" t="s">
        <v>1019</v>
      </c>
      <c r="E20" s="425"/>
      <c r="F20" s="425"/>
      <c r="G20" s="425"/>
      <c r="H20" s="425"/>
      <c r="I20" s="425"/>
      <c r="J20" s="426"/>
    </row>
    <row r="21" spans="4:10" ht="16.5" customHeight="1">
      <c r="D21" s="403" t="s">
        <v>1020</v>
      </c>
      <c r="E21" s="404"/>
      <c r="F21" s="404"/>
      <c r="G21" s="404"/>
      <c r="H21" s="404"/>
      <c r="I21" s="404"/>
      <c r="J21" s="405"/>
    </row>
    <row r="22" spans="4:10" ht="18.75" customHeight="1">
      <c r="D22" s="403" t="s">
        <v>1021</v>
      </c>
      <c r="E22" s="404"/>
      <c r="F22" s="404"/>
      <c r="G22" s="404"/>
      <c r="H22" s="404"/>
      <c r="I22" s="404"/>
      <c r="J22" s="405"/>
    </row>
    <row r="23" spans="4:10" ht="28.5" customHeight="1">
      <c r="D23" s="406" t="s">
        <v>1022</v>
      </c>
      <c r="E23" s="407"/>
      <c r="F23" s="407"/>
      <c r="G23" s="407"/>
      <c r="H23" s="407"/>
      <c r="I23" s="407"/>
      <c r="J23" s="408"/>
    </row>
    <row r="24" spans="4:10">
      <c r="I24" s="297"/>
    </row>
    <row r="25" spans="4:10">
      <c r="I25" s="297"/>
    </row>
    <row r="26" spans="4:10" ht="15.75">
      <c r="D26" s="398" t="s">
        <v>1023</v>
      </c>
      <c r="E26" s="399"/>
      <c r="F26" s="399"/>
      <c r="G26" s="399"/>
      <c r="H26" s="399"/>
      <c r="I26" s="399"/>
      <c r="J26" s="400"/>
    </row>
    <row r="27" spans="4:10">
      <c r="D27" s="301">
        <v>1</v>
      </c>
      <c r="E27" s="401" t="s">
        <v>1024</v>
      </c>
      <c r="F27" s="402"/>
      <c r="G27" s="402"/>
      <c r="H27" s="402"/>
      <c r="I27" s="402"/>
      <c r="J27" s="304" t="s">
        <v>1025</v>
      </c>
    </row>
    <row r="28" spans="4:10">
      <c r="D28" s="301">
        <v>2</v>
      </c>
      <c r="E28" s="401" t="s">
        <v>1044</v>
      </c>
      <c r="F28" s="402"/>
      <c r="G28" s="402"/>
      <c r="H28" s="402"/>
      <c r="I28" s="402"/>
      <c r="J28" s="304" t="s">
        <v>1044</v>
      </c>
    </row>
    <row r="29" spans="4:10">
      <c r="D29" s="301">
        <v>3</v>
      </c>
      <c r="E29" s="401" t="s">
        <v>1045</v>
      </c>
      <c r="F29" s="402"/>
      <c r="G29" s="402"/>
      <c r="H29" s="402"/>
      <c r="I29" s="402"/>
      <c r="J29" s="304" t="s">
        <v>1045</v>
      </c>
    </row>
    <row r="30" spans="4:10">
      <c r="D30" s="301">
        <v>4</v>
      </c>
      <c r="E30" s="401" t="s">
        <v>1046</v>
      </c>
      <c r="F30" s="402"/>
      <c r="G30" s="402"/>
      <c r="H30" s="402"/>
      <c r="I30" s="402"/>
      <c r="J30" s="304" t="s">
        <v>1046</v>
      </c>
    </row>
    <row r="31" spans="4:10">
      <c r="D31" s="302"/>
      <c r="E31" s="302"/>
      <c r="F31" s="302"/>
      <c r="G31" s="302"/>
      <c r="H31" s="302"/>
      <c r="I31" s="303"/>
      <c r="J31" s="302"/>
    </row>
    <row r="32" spans="4:10">
      <c r="I32" s="297"/>
    </row>
    <row r="33" spans="4:10" ht="18" customHeight="1">
      <c r="D33" s="380" t="s">
        <v>1026</v>
      </c>
      <c r="E33" s="381"/>
      <c r="F33" s="381"/>
      <c r="G33" s="381"/>
      <c r="H33" s="381"/>
      <c r="I33" s="381"/>
      <c r="J33" s="382"/>
    </row>
    <row r="34" spans="4:10" ht="60" customHeight="1">
      <c r="D34" s="383" t="s">
        <v>1047</v>
      </c>
      <c r="E34" s="384"/>
      <c r="F34" s="384"/>
      <c r="G34" s="384"/>
      <c r="H34" s="384"/>
      <c r="I34" s="384"/>
      <c r="J34" s="385"/>
    </row>
    <row r="35" spans="4:10" ht="49.5" customHeight="1">
      <c r="D35" s="386" t="s">
        <v>1027</v>
      </c>
      <c r="E35" s="387"/>
      <c r="F35" s="387"/>
      <c r="G35" s="387"/>
      <c r="H35" s="387"/>
      <c r="I35" s="387"/>
      <c r="J35" s="388"/>
    </row>
    <row r="36" spans="4:10" ht="53.25" customHeight="1">
      <c r="D36" s="386" t="s">
        <v>1028</v>
      </c>
      <c r="E36" s="387"/>
      <c r="F36" s="387"/>
      <c r="G36" s="387"/>
      <c r="H36" s="387"/>
      <c r="I36" s="387"/>
      <c r="J36" s="388"/>
    </row>
    <row r="37" spans="4:10" ht="30" customHeight="1">
      <c r="D37" s="389" t="s">
        <v>1029</v>
      </c>
      <c r="E37" s="390"/>
      <c r="F37" s="390"/>
      <c r="G37" s="390"/>
      <c r="H37" s="390"/>
      <c r="I37" s="390"/>
      <c r="J37" s="391"/>
    </row>
    <row r="38" spans="4:10" ht="56.25" customHeight="1">
      <c r="D38" s="392" t="s">
        <v>1030</v>
      </c>
      <c r="E38" s="393"/>
      <c r="F38" s="393"/>
      <c r="G38" s="393"/>
      <c r="H38" s="393"/>
      <c r="I38" s="393"/>
      <c r="J38" s="394"/>
    </row>
    <row r="39" spans="4:10" ht="84.75" customHeight="1">
      <c r="D39" s="392" t="s">
        <v>1031</v>
      </c>
      <c r="E39" s="393"/>
      <c r="F39" s="393"/>
      <c r="G39" s="393"/>
      <c r="H39" s="393"/>
      <c r="I39" s="393"/>
      <c r="J39" s="394"/>
    </row>
    <row r="40" spans="4:10" ht="61.5" customHeight="1">
      <c r="D40" s="395" t="s">
        <v>1032</v>
      </c>
      <c r="E40" s="396"/>
      <c r="F40" s="396"/>
      <c r="G40" s="396"/>
      <c r="H40" s="396"/>
      <c r="I40" s="396"/>
      <c r="J40" s="397"/>
    </row>
    <row r="41" spans="4:10">
      <c r="I41" s="297"/>
    </row>
    <row r="42" spans="4:10">
      <c r="I42" s="297"/>
    </row>
    <row r="43" spans="4:10" ht="15.75">
      <c r="D43" s="398" t="s">
        <v>1033</v>
      </c>
      <c r="E43" s="399"/>
      <c r="F43" s="399"/>
      <c r="G43" s="399"/>
      <c r="H43" s="399"/>
      <c r="I43" s="399"/>
      <c r="J43" s="400"/>
    </row>
    <row r="44" spans="4:10" ht="20.100000000000001" customHeight="1">
      <c r="D44" s="377" t="s">
        <v>1034</v>
      </c>
      <c r="E44" s="377"/>
      <c r="F44" s="377"/>
      <c r="G44" s="377"/>
      <c r="H44" s="377"/>
      <c r="I44" s="377"/>
      <c r="J44" s="377"/>
    </row>
    <row r="45" spans="4:10" ht="20.100000000000001" customHeight="1">
      <c r="D45" s="377" t="s">
        <v>1035</v>
      </c>
      <c r="E45" s="377"/>
      <c r="F45" s="377"/>
      <c r="G45" s="377"/>
      <c r="H45" s="377"/>
      <c r="I45" s="377"/>
      <c r="J45" s="377"/>
    </row>
    <row r="46" spans="4:10" ht="20.100000000000001" customHeight="1">
      <c r="D46" s="377" t="s">
        <v>1036</v>
      </c>
      <c r="E46" s="377"/>
      <c r="F46" s="377"/>
      <c r="G46" s="377"/>
      <c r="H46" s="377"/>
      <c r="I46" s="377"/>
      <c r="J46" s="377"/>
    </row>
    <row r="47" spans="4:10" ht="42" customHeight="1">
      <c r="D47" s="377" t="s">
        <v>1037</v>
      </c>
      <c r="E47" s="377"/>
      <c r="F47" s="377"/>
      <c r="G47" s="377"/>
      <c r="H47" s="377"/>
      <c r="I47" s="377"/>
      <c r="J47" s="377"/>
    </row>
    <row r="48" spans="4:10" ht="38.25" customHeight="1">
      <c r="D48" s="377" t="s">
        <v>1038</v>
      </c>
      <c r="E48" s="377"/>
      <c r="F48" s="377"/>
      <c r="G48" s="377"/>
      <c r="H48" s="377"/>
      <c r="I48" s="377"/>
      <c r="J48" s="377"/>
    </row>
    <row r="49" spans="4:10" ht="38.25" customHeight="1">
      <c r="D49" s="378" t="s">
        <v>1039</v>
      </c>
      <c r="E49" s="377"/>
      <c r="F49" s="377"/>
      <c r="G49" s="377"/>
      <c r="H49" s="377"/>
      <c r="I49" s="377"/>
      <c r="J49" s="377"/>
    </row>
    <row r="50" spans="4:10" ht="38.25" customHeight="1">
      <c r="D50" s="378" t="s">
        <v>1040</v>
      </c>
      <c r="E50" s="377"/>
      <c r="F50" s="377"/>
      <c r="G50" s="377"/>
      <c r="H50" s="377"/>
      <c r="I50" s="377"/>
      <c r="J50" s="377"/>
    </row>
    <row r="51" spans="4:10" ht="25.5" customHeight="1">
      <c r="D51" s="379" t="s">
        <v>1041</v>
      </c>
      <c r="E51" s="376"/>
      <c r="F51" s="376"/>
      <c r="G51" s="376"/>
      <c r="H51" s="376"/>
      <c r="I51" s="376"/>
      <c r="J51" s="376"/>
    </row>
    <row r="52" spans="4:10" ht="27.75" customHeight="1">
      <c r="D52" s="376" t="s">
        <v>1042</v>
      </c>
      <c r="E52" s="376"/>
      <c r="F52" s="376"/>
      <c r="G52" s="376"/>
      <c r="H52" s="376"/>
      <c r="I52" s="376"/>
      <c r="J52" s="376"/>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21:J21"/>
    <mergeCell ref="E6:I6"/>
    <mergeCell ref="F7:I7"/>
    <mergeCell ref="F8:I8"/>
    <mergeCell ref="F9:I9"/>
    <mergeCell ref="F10:I10"/>
    <mergeCell ref="D13:J13"/>
    <mergeCell ref="D14:J14"/>
    <mergeCell ref="D15:J15"/>
    <mergeCell ref="D18:J18"/>
    <mergeCell ref="D19:J19"/>
    <mergeCell ref="D20:J20"/>
    <mergeCell ref="E30:I30"/>
    <mergeCell ref="D22:J22"/>
    <mergeCell ref="D23:J23"/>
    <mergeCell ref="D26:J26"/>
    <mergeCell ref="E27:I27"/>
    <mergeCell ref="E28:I28"/>
    <mergeCell ref="E29:I29"/>
    <mergeCell ref="D45:J45"/>
    <mergeCell ref="D33:J33"/>
    <mergeCell ref="D34:J34"/>
    <mergeCell ref="D35:J35"/>
    <mergeCell ref="D36:J36"/>
    <mergeCell ref="D37:J37"/>
    <mergeCell ref="D38:J38"/>
    <mergeCell ref="D39:J39"/>
    <mergeCell ref="D40:J40"/>
    <mergeCell ref="D43:J43"/>
    <mergeCell ref="D44:J44"/>
    <mergeCell ref="D52:J52"/>
    <mergeCell ref="D46:J46"/>
    <mergeCell ref="D47:J47"/>
    <mergeCell ref="D48:J48"/>
    <mergeCell ref="D49:J49"/>
    <mergeCell ref="D50:J50"/>
    <mergeCell ref="D51:J51"/>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H13" sqref="H13"/>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7" t="s">
        <v>108</v>
      </c>
      <c r="F8" s="428"/>
      <c r="M8" s="18" t="s">
        <v>949</v>
      </c>
      <c r="X8" s="18" t="s">
        <v>122</v>
      </c>
    </row>
    <row r="9" spans="5:24" ht="20.100000000000001" customHeight="1">
      <c r="E9" s="19" t="s">
        <v>124</v>
      </c>
      <c r="F9" s="234">
        <v>532404</v>
      </c>
      <c r="M9" s="18" t="s">
        <v>950</v>
      </c>
    </row>
    <row r="10" spans="5:24" ht="20.100000000000001" customHeight="1">
      <c r="E10" s="20" t="s">
        <v>123</v>
      </c>
      <c r="F10" s="366" t="s">
        <v>1075</v>
      </c>
      <c r="M10" s="18" t="s">
        <v>1060</v>
      </c>
    </row>
    <row r="11" spans="5:24" ht="20.100000000000001" customHeight="1">
      <c r="E11" s="311"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1" t="s">
        <v>1055</v>
      </c>
      <c r="F14" s="328" t="s">
        <v>1076</v>
      </c>
      <c r="R14" s="288"/>
    </row>
    <row r="15" spans="5:24" ht="30" customHeight="1">
      <c r="E15" s="21" t="s">
        <v>110</v>
      </c>
      <c r="F15" s="367" t="s">
        <v>1070</v>
      </c>
      <c r="G15" s="288"/>
      <c r="I15" s="288"/>
      <c r="S15" s="288"/>
    </row>
    <row r="16" spans="5:24">
      <c r="E16" s="121" t="s">
        <v>303</v>
      </c>
      <c r="F16" s="332" t="str">
        <f>IF(F13=S1,M7,IF(F13=S2,M8,IF(F13=S3,M9,IF(F13=S4,M8,IF(F13=S5,M8,"")))))</f>
        <v>Regulation 31 (1) (b)</v>
      </c>
    </row>
    <row r="17" spans="4:7"/>
    <row r="18" spans="4:7" s="23" customFormat="1">
      <c r="E18" s="18"/>
      <c r="F18" s="18"/>
    </row>
    <row r="19" spans="4:7" s="23" customFormat="1" ht="21" hidden="1">
      <c r="E19" s="429"/>
      <c r="F19" s="429"/>
    </row>
    <row r="20" spans="4:7" s="23" customFormat="1" ht="21" hidden="1" customHeight="1">
      <c r="D20" s="310"/>
      <c r="G20" s="22"/>
    </row>
    <row r="21" spans="4:7" s="23" customFormat="1" ht="12.75" hidden="1" customHeight="1">
      <c r="D21" s="25"/>
      <c r="E21" s="310"/>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G15" sqref="G15"/>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39"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0" t="s">
        <v>165</v>
      </c>
      <c r="F8" s="431"/>
      <c r="G8" s="431"/>
      <c r="H8" s="431"/>
      <c r="I8" s="431"/>
      <c r="J8" s="431"/>
      <c r="K8" s="431"/>
      <c r="L8" s="431"/>
      <c r="M8" s="431"/>
      <c r="N8" s="431"/>
      <c r="O8" s="431"/>
      <c r="P8" s="431"/>
      <c r="Q8" s="431"/>
      <c r="R8" s="431"/>
      <c r="S8" s="431"/>
      <c r="T8" s="431"/>
      <c r="U8" s="431"/>
      <c r="V8" s="431"/>
      <c r="W8" s="431"/>
      <c r="X8" s="431"/>
      <c r="Y8" s="432"/>
    </row>
    <row r="9" spans="5:25" ht="22.5" customHeight="1">
      <c r="E9" s="440" t="s">
        <v>974</v>
      </c>
      <c r="F9" s="441"/>
      <c r="G9" s="441"/>
      <c r="H9" s="441"/>
      <c r="I9" s="441"/>
      <c r="J9" s="441"/>
      <c r="K9" s="441"/>
      <c r="L9" s="441"/>
      <c r="M9" s="441"/>
      <c r="N9" s="441"/>
      <c r="O9" s="441"/>
      <c r="P9" s="441"/>
      <c r="Q9" s="441"/>
      <c r="R9" s="441"/>
      <c r="S9" s="441"/>
      <c r="T9" s="441"/>
      <c r="U9" s="441"/>
      <c r="V9" s="441"/>
      <c r="W9" s="441"/>
      <c r="X9" s="441"/>
      <c r="Y9" s="442"/>
    </row>
    <row r="10" spans="5:25" ht="27" customHeight="1">
      <c r="E10" s="436" t="s">
        <v>151</v>
      </c>
      <c r="F10" s="436" t="s">
        <v>152</v>
      </c>
      <c r="G10" s="436" t="s">
        <v>2</v>
      </c>
      <c r="H10" s="436" t="s">
        <v>3</v>
      </c>
      <c r="I10" s="436" t="s">
        <v>4</v>
      </c>
      <c r="J10" s="436" t="s">
        <v>5</v>
      </c>
      <c r="K10" s="436" t="s">
        <v>6</v>
      </c>
      <c r="L10" s="436" t="s">
        <v>7</v>
      </c>
      <c r="M10" s="433" t="s">
        <v>153</v>
      </c>
      <c r="N10" s="434"/>
      <c r="O10" s="434"/>
      <c r="P10" s="435"/>
      <c r="Q10" s="436" t="s">
        <v>9</v>
      </c>
      <c r="R10" s="437" t="s">
        <v>1064</v>
      </c>
      <c r="S10" s="436" t="s">
        <v>135</v>
      </c>
      <c r="T10" s="436" t="s">
        <v>11</v>
      </c>
      <c r="U10" s="443" t="s">
        <v>12</v>
      </c>
      <c r="V10" s="444"/>
      <c r="W10" s="443" t="s">
        <v>13</v>
      </c>
      <c r="X10" s="444"/>
      <c r="Y10" s="436" t="s">
        <v>14</v>
      </c>
    </row>
    <row r="11" spans="5:25" ht="24" customHeight="1">
      <c r="E11" s="436"/>
      <c r="F11" s="436"/>
      <c r="G11" s="436"/>
      <c r="H11" s="436"/>
      <c r="I11" s="436"/>
      <c r="J11" s="436"/>
      <c r="K11" s="436"/>
      <c r="L11" s="436"/>
      <c r="M11" s="433" t="s">
        <v>920</v>
      </c>
      <c r="N11" s="434"/>
      <c r="O11" s="435"/>
      <c r="P11" s="436" t="s">
        <v>154</v>
      </c>
      <c r="Q11" s="436"/>
      <c r="R11" s="438"/>
      <c r="S11" s="436"/>
      <c r="T11" s="436"/>
      <c r="U11" s="443"/>
      <c r="V11" s="444"/>
      <c r="W11" s="443"/>
      <c r="X11" s="444"/>
      <c r="Y11" s="436"/>
    </row>
    <row r="12" spans="5:25" ht="79.5" customHeight="1">
      <c r="E12" s="436"/>
      <c r="F12" s="436"/>
      <c r="G12" s="436"/>
      <c r="H12" s="436"/>
      <c r="I12" s="436"/>
      <c r="J12" s="436"/>
      <c r="K12" s="436"/>
      <c r="L12" s="436"/>
      <c r="M12" s="78" t="s">
        <v>17</v>
      </c>
      <c r="N12" s="78" t="s">
        <v>18</v>
      </c>
      <c r="O12" s="78" t="s">
        <v>19</v>
      </c>
      <c r="P12" s="436"/>
      <c r="Q12" s="436"/>
      <c r="R12" s="439"/>
      <c r="S12" s="436"/>
      <c r="T12" s="436"/>
      <c r="U12" s="78" t="s">
        <v>20</v>
      </c>
      <c r="V12" s="78" t="s">
        <v>21</v>
      </c>
      <c r="W12" s="78" t="s">
        <v>20</v>
      </c>
      <c r="X12" s="78" t="s">
        <v>21</v>
      </c>
      <c r="Y12" s="436"/>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2865</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0">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5"/>
      <c r="X14" s="356"/>
      <c r="Y14" s="91">
        <f>+IFERROR(IF(COUNT('Shareholding Pattern'!Z50),('Shareholding Pattern'!Z50),""),"")</f>
        <v>5116186</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3"/>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3"/>
      <c r="U15" s="91" t="str">
        <f>+IFERROR(IF(COUNT('Shareholding Pattern'!V56),('Shareholding Pattern'!V56),""),"")</f>
        <v/>
      </c>
      <c r="V15" s="215" t="str">
        <f>+IFERROR(IF(COUNT('Shareholding Pattern'!W56),('Shareholding Pattern'!W56),""),"")</f>
        <v/>
      </c>
      <c r="W15" s="357"/>
      <c r="X15" s="358"/>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4"/>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4"/>
      <c r="U16" s="91" t="str">
        <f>+IFERROR(IF(COUNT('Shareholding Pattern'!V54),('Shareholding Pattern'!V54),""),"")</f>
        <v/>
      </c>
      <c r="V16" s="215" t="str">
        <f>+IFERROR(IF(COUNT('Shareholding Pattern'!W54),('Shareholding Pattern'!W54),""),"")</f>
        <v/>
      </c>
      <c r="W16" s="357"/>
      <c r="X16" s="358"/>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59"/>
      <c r="X17" s="360"/>
      <c r="Y17" s="91" t="str">
        <f>+IFERROR(IF(COUNT('Shareholding Pattern'!Z55),('Shareholding Pattern'!Z55),""),"")</f>
        <v/>
      </c>
    </row>
    <row r="18" spans="5:25" ht="18.75">
      <c r="E18" s="61"/>
      <c r="F18" s="82" t="s">
        <v>19</v>
      </c>
      <c r="G18" s="93">
        <f>+IFERROR(IF(COUNT('Shareholding Pattern'!H58),('Shareholding Pattern'!H58),""),"")</f>
        <v>2869</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7">
        <f>+IFERROR(IF(COUNT('Shareholding Pattern'!M58),('Shareholding Pattern'!M58),""),"")</f>
        <v>100</v>
      </c>
      <c r="M18" s="319">
        <f>+IFERROR(IF(COUNT('Shareholding Pattern'!N58),('Shareholding Pattern'!N58),""),"")</f>
        <v>10878748</v>
      </c>
      <c r="N18" s="319" t="str">
        <f>+IFERROR(IF(COUNT('Shareholding Pattern'!O58),('Shareholding Pattern'!O58),""),"")</f>
        <v/>
      </c>
      <c r="O18" s="319">
        <f>+IFERROR(IF(COUNT('Shareholding Pattern'!P58),('Shareholding Pattern'!P58),""),"")</f>
        <v>10878748</v>
      </c>
      <c r="P18" s="319">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7">
        <f>+IFERROR(IF(COUNT('Shareholding Pattern'!U58),('Shareholding Pattern'!U58),""),"")</f>
        <v>100</v>
      </c>
      <c r="U18" s="93" t="str">
        <f>+IFERROR(IF(COUNT('Shareholding Pattern'!V58),('Shareholding Pattern'!V58),""),"")</f>
        <v/>
      </c>
      <c r="V18" s="319" t="str">
        <f>+IFERROR(IF(COUNT('Shareholding Pattern'!W58),('Shareholding Pattern'!W58),""),"")</f>
        <v/>
      </c>
      <c r="W18" s="93" t="str">
        <f>+IFERROR(IF(COUNT('Shareholding Pattern'!X58),('Shareholding Pattern'!X58),""),"")</f>
        <v/>
      </c>
      <c r="X18" s="319" t="str">
        <f>+IFERROR(IF(COUNT('Shareholding Pattern'!Y58),('Shareholding Pattern'!Y58),""),"")</f>
        <v/>
      </c>
      <c r="Y18" s="93">
        <f>+IFERROR(IF(COUNT('Shareholding Pattern'!Z58),('Shareholding Pattern'!Z58),""),"")</f>
        <v>9736430</v>
      </c>
    </row>
    <row r="19" spans="5:25"/>
  </sheetData>
  <sheetProtection password="F884" sheet="1" objects="1" scenarios="1"/>
  <mergeCells count="20">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A608" workbookViewId="0">
      <selection activeCell="C620" sqref="C620"/>
    </sheetView>
  </sheetViews>
  <sheetFormatPr defaultRowHeight="15"/>
  <cols>
    <col min="1" max="1" width="15.42578125"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3" t="s">
        <v>302</v>
      </c>
      <c r="C10" s="313" t="s">
        <v>303</v>
      </c>
      <c r="D10" s="313"/>
      <c r="E10" s="313">
        <v>8</v>
      </c>
      <c r="F10" s="313" t="s">
        <v>304</v>
      </c>
      <c r="G10" s="313" t="s">
        <v>276</v>
      </c>
      <c r="H10" s="313" t="s">
        <v>302</v>
      </c>
      <c r="I10" s="313" t="s">
        <v>279</v>
      </c>
      <c r="J10" s="313" t="s">
        <v>952</v>
      </c>
      <c r="K10" s="313">
        <v>0</v>
      </c>
      <c r="L10" s="313" t="s">
        <v>281</v>
      </c>
      <c r="M10" s="313">
        <v>0</v>
      </c>
      <c r="N10" s="313" t="s">
        <v>282</v>
      </c>
      <c r="O10" s="313" t="s">
        <v>287</v>
      </c>
      <c r="P10" s="313" t="s">
        <v>283</v>
      </c>
      <c r="Q10" s="313"/>
      <c r="R10" s="313"/>
      <c r="S10" s="313"/>
      <c r="T10" s="313"/>
      <c r="U10" s="313"/>
      <c r="V10" s="313"/>
      <c r="W10" s="313"/>
      <c r="X10" s="313"/>
      <c r="Y10" s="313"/>
      <c r="Z10" s="313"/>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2" t="s">
        <v>507</v>
      </c>
      <c r="C133" s="313" t="s">
        <v>508</v>
      </c>
      <c r="D133" s="313"/>
      <c r="E133" s="313">
        <v>2</v>
      </c>
      <c r="F133" s="313" t="s">
        <v>509</v>
      </c>
      <c r="G133" s="313" t="s">
        <v>497</v>
      </c>
      <c r="H133" s="313" t="s">
        <v>507</v>
      </c>
      <c r="I133" s="313" t="s">
        <v>500</v>
      </c>
      <c r="J133" s="313" t="s">
        <v>280</v>
      </c>
      <c r="K133" s="313">
        <v>0</v>
      </c>
      <c r="L133" s="313" t="s">
        <v>281</v>
      </c>
      <c r="M133" s="313">
        <v>0</v>
      </c>
      <c r="N133" s="313" t="s">
        <v>282</v>
      </c>
      <c r="O133" s="313" t="s">
        <v>283</v>
      </c>
      <c r="P133" s="313" t="s">
        <v>283</v>
      </c>
      <c r="Q133" s="313"/>
      <c r="R133" s="313"/>
      <c r="S133" s="313"/>
      <c r="T133" s="313"/>
      <c r="U133" s="313"/>
      <c r="V133" s="313"/>
      <c r="W133" s="313"/>
      <c r="X133" s="313"/>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90" zoomScaleNormal="90" workbookViewId="0">
      <pane xSplit="5" ySplit="5" topLeftCell="F12" activePane="bottomRight" state="frozenSplit"/>
      <selection activeCell="J21" sqref="J21"/>
      <selection pane="topRight" activeCell="J21" sqref="J21"/>
      <selection pane="bottomLeft" activeCell="J21" sqref="J21"/>
      <selection pane="bottomRight" activeCell="F48" sqref="F48"/>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79" width="3.42578125" hidden="1"/>
    <col min="16380" max="16381" width="4" hidden="1"/>
    <col min="16382" max="16382" width="5.140625" hidden="1"/>
    <col min="16383" max="16383" width="2.85546875" hidden="1" customWidth="1"/>
    <col min="16384" max="16384" width="5.5703125" hidden="1" customWidth="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3" t="s">
        <v>134</v>
      </c>
      <c r="F9" s="467" t="s">
        <v>0</v>
      </c>
      <c r="G9" s="468"/>
      <c r="H9" s="445" t="s">
        <v>2</v>
      </c>
      <c r="I9" s="445" t="s">
        <v>3</v>
      </c>
      <c r="J9" s="445" t="s">
        <v>4</v>
      </c>
      <c r="K9" s="445" t="s">
        <v>5</v>
      </c>
      <c r="L9" s="445" t="s">
        <v>6</v>
      </c>
      <c r="M9" s="449" t="s">
        <v>7</v>
      </c>
      <c r="N9" s="450" t="s">
        <v>8</v>
      </c>
      <c r="O9" s="451"/>
      <c r="P9" s="451"/>
      <c r="Q9" s="452"/>
      <c r="R9" s="445" t="s">
        <v>9</v>
      </c>
      <c r="S9" s="456" t="s">
        <v>1064</v>
      </c>
      <c r="T9" s="436" t="s">
        <v>135</v>
      </c>
      <c r="U9" s="473" t="s">
        <v>11</v>
      </c>
      <c r="V9" s="445" t="s">
        <v>12</v>
      </c>
      <c r="W9" s="445"/>
      <c r="X9" s="445" t="s">
        <v>13</v>
      </c>
      <c r="Y9" s="445"/>
      <c r="Z9" s="445" t="s">
        <v>14</v>
      </c>
    </row>
    <row r="10" spans="5:58" ht="28.5" customHeight="1">
      <c r="E10" s="454"/>
      <c r="F10" s="469"/>
      <c r="G10" s="470"/>
      <c r="H10" s="445"/>
      <c r="I10" s="445"/>
      <c r="J10" s="445"/>
      <c r="K10" s="445"/>
      <c r="L10" s="445"/>
      <c r="M10" s="449"/>
      <c r="N10" s="450" t="s">
        <v>15</v>
      </c>
      <c r="O10" s="451"/>
      <c r="P10" s="452"/>
      <c r="Q10" s="449" t="s">
        <v>16</v>
      </c>
      <c r="R10" s="445"/>
      <c r="S10" s="457"/>
      <c r="T10" s="445"/>
      <c r="U10" s="473"/>
      <c r="V10" s="445"/>
      <c r="W10" s="445"/>
      <c r="X10" s="445"/>
      <c r="Y10" s="445"/>
      <c r="Z10" s="445"/>
    </row>
    <row r="11" spans="5:58" ht="113.25" customHeight="1">
      <c r="E11" s="455"/>
      <c r="F11" s="471"/>
      <c r="G11" s="472"/>
      <c r="H11" s="445"/>
      <c r="I11" s="445"/>
      <c r="J11" s="445"/>
      <c r="K11" s="445"/>
      <c r="L11" s="445"/>
      <c r="M11" s="449"/>
      <c r="N11" s="161" t="s">
        <v>17</v>
      </c>
      <c r="O11" s="161" t="s">
        <v>18</v>
      </c>
      <c r="P11" s="35" t="s">
        <v>19</v>
      </c>
      <c r="Q11" s="449"/>
      <c r="R11" s="445"/>
      <c r="S11" s="458"/>
      <c r="T11" s="445"/>
      <c r="U11" s="473"/>
      <c r="V11" s="161" t="s">
        <v>20</v>
      </c>
      <c r="W11" s="81" t="s">
        <v>21</v>
      </c>
      <c r="X11" s="166" t="s">
        <v>20</v>
      </c>
      <c r="Y11" s="81" t="s">
        <v>21</v>
      </c>
      <c r="Z11" s="445"/>
    </row>
    <row r="12" spans="5:58" ht="18.75" customHeight="1">
      <c r="E12" s="140" t="s">
        <v>22</v>
      </c>
      <c r="F12" s="446" t="s">
        <v>23</v>
      </c>
      <c r="G12" s="446"/>
      <c r="H12" s="446"/>
      <c r="I12" s="446"/>
      <c r="J12" s="446"/>
      <c r="K12" s="446"/>
      <c r="L12" s="446"/>
      <c r="M12" s="446"/>
      <c r="N12" s="446"/>
      <c r="O12" s="446"/>
      <c r="P12" s="446"/>
      <c r="Q12" s="446"/>
      <c r="R12" s="446"/>
      <c r="S12" s="446"/>
      <c r="T12" s="446"/>
      <c r="U12" s="446"/>
      <c r="V12" s="446"/>
      <c r="W12" s="446"/>
      <c r="X12" s="446"/>
      <c r="Y12" s="446"/>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Pattern'!$L$57*100,2),""),0)</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Pattern'!$T$57)*100,2),""),0)</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Pattern'!$L$57*100,2),""),0)</f>
        <v/>
      </c>
      <c r="N15" s="321" t="str">
        <f>IFERROR(IF(COUNT(CGAndSG!M16),(CGAndSG!M16),""),"")</f>
        <v/>
      </c>
      <c r="O15" s="216" t="str">
        <f>IFERROR(IF(COUNT(CGAndSG!N16),(CGAndSG!N16),""),"")</f>
        <v/>
      </c>
      <c r="P15" s="154" t="str">
        <f>IFERROR(IF(COUNT(CGAndSG!O16),(CGAndSG!O16),""),"")</f>
        <v/>
      </c>
      <c r="Q15" s="199" t="str">
        <f>IFERROR(IF(COUNT(CGAndSG!P16),(CGAndSG!P16),""),0)</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Pattern'!$T$57)*100,2),""),0)</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Pattern'!$L$57*100,2),""),0)</f>
        <v/>
      </c>
      <c r="N16" s="321" t="str">
        <f>IFERROR(IF(COUNT(Banks!M16),(Banks!M16),""),"")</f>
        <v/>
      </c>
      <c r="O16" s="216" t="str">
        <f>IFERROR(IF(COUNT(Banks!N16),(Banks!N16),""),"")</f>
        <v/>
      </c>
      <c r="P16" s="132" t="str">
        <f>IFERROR(IF(COUNT(Banks!O16),(Banks!O16),""),"")</f>
        <v/>
      </c>
      <c r="Q16" s="199" t="str">
        <f>IFERROR(IF(COUNT(Banks!P16),(Banks!P16),""),0)</f>
        <v/>
      </c>
      <c r="R16" s="132" t="str">
        <f>IFERROR(IF(COUNT(Banks!Q16),(Banks!Q16),""),"")</f>
        <v/>
      </c>
      <c r="S16" s="132" t="str">
        <f>IFERROR(IF(COUNT(Banks!R16),(Banks!R16),""),"")</f>
        <v/>
      </c>
      <c r="T16" s="132" t="str">
        <f>IFERROR(IF(COUNT(Banks!S16),(Banks!S16),""),"")</f>
        <v/>
      </c>
      <c r="U16" s="155" t="str">
        <f>+IFERROR(IF(COUNT(L16,T16),ROUND(SUM(L16,T16)/SUM('Shareholding Pattern'!$L$57,'Shareholding Pattern'!$T$57)*100,2),""),0)</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Pattern'!$L$57*100,2),""),0)</f>
        <v/>
      </c>
      <c r="N17" s="321" t="str">
        <f>IFERROR(IF(COUNT(OtherIND!O16),(OtherIND!O16),""),"")</f>
        <v/>
      </c>
      <c r="O17" s="216" t="str">
        <f>IFERROR(IF(COUNT(OtherIND!P16),(OtherIND!P16),""),"")</f>
        <v/>
      </c>
      <c r="P17" s="156" t="str">
        <f>IFERROR(IF(COUNT(OtherIND!Q16),(OtherIND!Q16),""),"")</f>
        <v/>
      </c>
      <c r="Q17" s="241" t="str">
        <f>IFERROR(IF(COUNT(OtherIND!R16),(OtherIND!R16),""),0)</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Pattern'!$T$57)*100,2),""),0)</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7" t="s">
        <v>35</v>
      </c>
      <c r="F18" s="447"/>
      <c r="G18" s="447"/>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Pattern'!$L$57*100,2),""),0)</f>
        <v>42.47</v>
      </c>
      <c r="N18" s="163">
        <f t="shared" si="2"/>
        <v>4620244</v>
      </c>
      <c r="O18" s="163" t="str">
        <f t="shared" si="2"/>
        <v/>
      </c>
      <c r="P18" s="4">
        <f t="shared" si="2"/>
        <v>4620244</v>
      </c>
      <c r="Q18" s="209">
        <f>IFERROR(IF(COUNT(P18),ROUND(P18/$P$58*100,2),""),0)</f>
        <v>42.47</v>
      </c>
      <c r="R18" s="77" t="str">
        <f t="shared" si="2"/>
        <v/>
      </c>
      <c r="S18" s="77" t="str">
        <f t="shared" si="2"/>
        <v/>
      </c>
      <c r="T18" s="77" t="str">
        <f t="shared" si="2"/>
        <v/>
      </c>
      <c r="U18" s="158">
        <f>+IFERROR(IF(COUNT(L18,T18),ROUND(SUM(L18,T18)/SUM('Shareholding Pattern'!$L$57,'Shareholding Pattern'!$T$57)*100,2),""),0)</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Pattern'!$L$57*100,2),""),0)</f>
        <v/>
      </c>
      <c r="N20" s="321" t="str">
        <f>IFERROR(IF(COUNT(Individuals!M16),(Individuals!M16),""),"")</f>
        <v/>
      </c>
      <c r="O20" s="216" t="str">
        <f>IFERROR(IF(COUNT(Individuals!N16),(Individuals!N16),""),"")</f>
        <v/>
      </c>
      <c r="P20" s="135" t="str">
        <f>IFERROR(IF(COUNT(Individuals!O16),(Individuals!O16),""),"")</f>
        <v/>
      </c>
      <c r="Q20" s="211" t="str">
        <f>IFERROR(IF(COUNT(Individuals!P16),(Individuals!P16),""),0)</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Pattern'!$T$57)*100,2),""),0)</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Pattern'!$L$57*100,2),""),0)</f>
        <v/>
      </c>
      <c r="N21" s="321" t="str">
        <f>IFERROR(IF(COUNT(Government!M16),(Government!M16),""),"")</f>
        <v/>
      </c>
      <c r="O21" s="216" t="str">
        <f>IFERROR(IF(COUNT(Government!N16),(Government!N16),""),"")</f>
        <v/>
      </c>
      <c r="P21" s="131" t="str">
        <f>IFERROR(IF(COUNT(Government!O16),(Government!O16),""),"")</f>
        <v/>
      </c>
      <c r="Q21" s="208" t="str">
        <f>IFERROR(IF(COUNT(Government!P16),(Government!P16),""),0)</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Pattern'!$T$57)*100,2),""),0)</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Pattern'!$L$57*100,2),""),0)</f>
        <v/>
      </c>
      <c r="N22" s="321" t="str">
        <f>IFERROR(IF(COUNT(Institutions!M16),(Institutions!M16),""),"")</f>
        <v/>
      </c>
      <c r="O22" s="216" t="str">
        <f>IFERROR(IF(COUNT(Institutions!N16),(Institutions!N16),""),"")</f>
        <v/>
      </c>
      <c r="P22" s="131" t="str">
        <f>IFERROR(IF(COUNT(Institutions!O16),(Institutions!O16),""),"")</f>
        <v/>
      </c>
      <c r="Q22" s="208" t="str">
        <f>IFERROR(IF(COUNT(Institutions!P16),(Institutions!P16),""),0)</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Pattern'!$T$57)*100,2),""),0)</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Pattern'!$L$57*100,2),""),0)</f>
        <v/>
      </c>
      <c r="N23" s="321" t="str">
        <f>IFERROR(IF(COUNT(FPIPromoter!M16),(FPIPromoter!M16),""),"")</f>
        <v/>
      </c>
      <c r="O23" s="216" t="str">
        <f>IFERROR(IF(COUNT(FPIPromoter!N16),(FPIPromoter!N16),""),"")</f>
        <v/>
      </c>
      <c r="P23" s="131" t="str">
        <f>IFERROR(IF(COUNT(FPIPromoter!O16),(FPIPromoter!O16),""),"")</f>
        <v/>
      </c>
      <c r="Q23" s="208" t="str">
        <f>IFERROR(IF(COUNT(FPIPromoter!P16),(FPIPromoter!P16),""),0)</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Pattern'!$T$57)*100,2),""),0)</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Pattern'!$L$57*100,2),""),0)</f>
        <v/>
      </c>
      <c r="N24" s="321" t="str">
        <f>IFERROR(IF(COUNT(OtherForeign!O16),(OtherForeign!O16),""),"")</f>
        <v/>
      </c>
      <c r="O24" s="216" t="str">
        <f>IFERROR(IF(COUNT(OtherForeign!P16),(OtherForeign!P16),""),"")</f>
        <v/>
      </c>
      <c r="P24" s="137" t="str">
        <f>IFERROR(IF(COUNT(OtherForeign!Q16),(OtherForeign!Q16),""),"")</f>
        <v/>
      </c>
      <c r="Q24" s="246" t="str">
        <f>IFERROR(IF(COUNT(OtherForeign!R16),(OtherForeign!R16),""),0)</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Pattern'!$T$57)*100,2),""),0)</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7" t="s">
        <v>43</v>
      </c>
      <c r="F25" s="447"/>
      <c r="G25" s="447"/>
      <c r="H25" s="180" t="str">
        <f>+IFERROR(IF(COUNT(H20:H24),ROUND(SUM(H20:H24),0),""),"")</f>
        <v/>
      </c>
      <c r="I25" s="180" t="str">
        <f t="shared" ref="I25:Z25" si="5">+IFERROR(IF(COUNT(I20:I24),ROUND(SUM(I20:I24),0),""),"")</f>
        <v/>
      </c>
      <c r="J25" s="180" t="str">
        <f t="shared" si="5"/>
        <v/>
      </c>
      <c r="K25" s="180" t="str">
        <f t="shared" si="5"/>
        <v/>
      </c>
      <c r="L25" s="183" t="str">
        <f t="shared" si="5"/>
        <v/>
      </c>
      <c r="M25" s="201" t="str">
        <f>+IFERROR(IF(COUNT(L25),ROUND(L25/'Shareholding Pattern'!$L$57*100,2),""),0)</f>
        <v/>
      </c>
      <c r="N25" s="181" t="str">
        <f t="shared" si="5"/>
        <v/>
      </c>
      <c r="O25" s="181" t="str">
        <f t="shared" si="5"/>
        <v/>
      </c>
      <c r="P25" s="180" t="str">
        <f t="shared" si="5"/>
        <v/>
      </c>
      <c r="Q25" s="209" t="str">
        <f>IFERROR(IF(COUNT(P25),ROUND(P25/$P$58*100,2),""),0)</f>
        <v/>
      </c>
      <c r="R25" s="182" t="str">
        <f t="shared" si="5"/>
        <v/>
      </c>
      <c r="S25" s="182" t="str">
        <f t="shared" si="5"/>
        <v/>
      </c>
      <c r="T25" s="180" t="str">
        <f t="shared" si="5"/>
        <v/>
      </c>
      <c r="U25" s="158" t="str">
        <f>+IFERROR(IF(COUNT(L25,T25),ROUND(SUM(L25,T25)/SUM('Shareholding Pattern'!$L$57,'Shareholding Pattern'!$T$57)*100,2),""),0)</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8" t="s">
        <v>105</v>
      </c>
      <c r="F26" s="448"/>
      <c r="G26" s="448"/>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Pattern'!$L$57*100,2),""),0)</f>
        <v>42.47</v>
      </c>
      <c r="N26" s="181">
        <f t="shared" si="6"/>
        <v>4620244</v>
      </c>
      <c r="O26" s="181" t="str">
        <f t="shared" si="6"/>
        <v/>
      </c>
      <c r="P26" s="180">
        <f t="shared" si="6"/>
        <v>4620244</v>
      </c>
      <c r="Q26" s="209">
        <f>IFERROR(IF(COUNT(P26),ROUND(P26/$P$58*100,2),""),0)</f>
        <v>42.47</v>
      </c>
      <c r="R26" s="182" t="str">
        <f t="shared" si="6"/>
        <v/>
      </c>
      <c r="S26" s="182" t="str">
        <f t="shared" si="6"/>
        <v/>
      </c>
      <c r="T26" s="183" t="str">
        <f t="shared" si="6"/>
        <v/>
      </c>
      <c r="U26" s="158">
        <f>+IFERROR(IF(COUNT(L26,T26),ROUND(SUM(L26,T26)/SUM('Shareholding Pattern'!$L$57,'Shareholding Pattern'!$T$57)*100,2),""),0)</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2" t="s">
        <v>45</v>
      </c>
      <c r="G28" s="363"/>
      <c r="H28" s="364" t="s">
        <v>1071</v>
      </c>
      <c r="I28" s="363"/>
      <c r="J28" s="363"/>
      <c r="K28" s="363"/>
      <c r="L28" s="363"/>
      <c r="M28" s="363"/>
      <c r="N28" s="363"/>
      <c r="O28" s="363"/>
      <c r="P28" s="363"/>
      <c r="Q28" s="363"/>
      <c r="R28" s="363"/>
      <c r="S28" s="363"/>
      <c r="T28" s="363"/>
      <c r="U28" s="363"/>
      <c r="V28" s="363"/>
      <c r="W28" s="363"/>
      <c r="X28" s="363"/>
      <c r="Y28" s="363"/>
      <c r="Z28" s="365"/>
      <c r="AX28" t="s">
        <v>519</v>
      </c>
      <c r="AZ28" t="s">
        <v>240</v>
      </c>
      <c r="BF28" t="s">
        <v>643</v>
      </c>
    </row>
    <row r="29" spans="5:58" ht="20.100000000000001" customHeight="1">
      <c r="E29" s="128" t="s">
        <v>24</v>
      </c>
      <c r="F29" s="459" t="s">
        <v>40</v>
      </c>
      <c r="G29" s="460"/>
      <c r="H29" s="460"/>
      <c r="I29" s="460"/>
      <c r="J29" s="460"/>
      <c r="K29" s="460"/>
      <c r="L29" s="460"/>
      <c r="M29" s="460"/>
      <c r="N29" s="460"/>
      <c r="O29" s="460"/>
      <c r="P29" s="460"/>
      <c r="Q29" s="460"/>
      <c r="R29" s="460"/>
      <c r="S29" s="460"/>
      <c r="T29" s="460"/>
      <c r="U29" s="460"/>
      <c r="V29" s="460"/>
      <c r="W29" s="460"/>
      <c r="X29" s="460"/>
      <c r="Y29" s="460"/>
      <c r="Z29" s="460"/>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1" t="str">
        <f t="shared" ref="N30:N38" si="7">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8">+IFERROR(IF(COUNT(V30),ROUND(SUM(V30)/SUM(L30)*100,2),""),0)</f>
        <v/>
      </c>
      <c r="X30" s="481"/>
      <c r="Y30" s="482"/>
      <c r="Z30" s="153"/>
      <c r="AR30" t="s">
        <v>197</v>
      </c>
      <c r="AX30" t="s">
        <v>521</v>
      </c>
      <c r="AZ30" t="s">
        <v>242</v>
      </c>
      <c r="BF30" t="s">
        <v>669</v>
      </c>
    </row>
    <row r="31" spans="5:58" ht="20.100000000000001" customHeight="1">
      <c r="E31" s="130" t="s">
        <v>28</v>
      </c>
      <c r="F31" s="278" t="s">
        <v>47</v>
      </c>
      <c r="H31" s="153"/>
      <c r="I31" s="153"/>
      <c r="J31" s="153"/>
      <c r="K31" s="153"/>
      <c r="L31" s="218" t="str">
        <f t="shared" ref="L31:L39" si="9">+IFERROR(IF(COUNT(I31:K31),ROUND(SUM(I31:K31),0),""),"")</f>
        <v/>
      </c>
      <c r="M31" s="243" t="str">
        <f>+IFERROR(IF(COUNT(L31),ROUND(L31/'Shareholding Pattern'!$L$57*100,2),""),"")</f>
        <v/>
      </c>
      <c r="N31" s="361" t="str">
        <f t="shared" si="7"/>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8"/>
        <v/>
      </c>
      <c r="X31" s="483"/>
      <c r="Y31" s="484"/>
      <c r="Z31" s="153"/>
      <c r="AR31" t="s">
        <v>198</v>
      </c>
      <c r="AX31" t="s">
        <v>522</v>
      </c>
      <c r="AZ31" t="s">
        <v>243</v>
      </c>
      <c r="BF31" t="s">
        <v>803</v>
      </c>
    </row>
    <row r="32" spans="5:58" ht="20.100000000000001" customHeight="1">
      <c r="E32" s="130" t="s">
        <v>30</v>
      </c>
      <c r="F32" s="278" t="s">
        <v>48</v>
      </c>
      <c r="H32" s="153"/>
      <c r="I32" s="153"/>
      <c r="J32" s="153"/>
      <c r="K32" s="153"/>
      <c r="L32" s="218" t="str">
        <f t="shared" si="9"/>
        <v/>
      </c>
      <c r="M32" s="243" t="str">
        <f>+IFERROR(IF(COUNT(L32),ROUND(L32/'Shareholding Pattern'!$L$57*100,2),""),"")</f>
        <v/>
      </c>
      <c r="N32" s="361" t="str">
        <f t="shared" si="7"/>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8"/>
        <v/>
      </c>
      <c r="X32" s="483"/>
      <c r="Y32" s="484"/>
      <c r="Z32" s="153"/>
      <c r="AR32" t="s">
        <v>199</v>
      </c>
      <c r="AX32" t="s">
        <v>223</v>
      </c>
      <c r="AZ32" t="s">
        <v>244</v>
      </c>
      <c r="BF32" t="s">
        <v>682</v>
      </c>
    </row>
    <row r="33" spans="5:58" ht="20.100000000000001" customHeight="1">
      <c r="E33" s="130" t="s">
        <v>32</v>
      </c>
      <c r="F33" s="278" t="s">
        <v>49</v>
      </c>
      <c r="H33" s="153"/>
      <c r="I33" s="153"/>
      <c r="J33" s="153"/>
      <c r="K33" s="153"/>
      <c r="L33" s="218" t="str">
        <f t="shared" si="9"/>
        <v/>
      </c>
      <c r="M33" s="243" t="str">
        <f>+IFERROR(IF(COUNT(L33),ROUND(L33/'Shareholding Pattern'!$L$57*100,2),""),"")</f>
        <v/>
      </c>
      <c r="N33" s="361" t="str">
        <f t="shared" si="7"/>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8"/>
        <v/>
      </c>
      <c r="X33" s="483"/>
      <c r="Y33" s="484"/>
      <c r="Z33" s="153"/>
      <c r="AR33" t="s">
        <v>200</v>
      </c>
      <c r="AX33" t="s">
        <v>224</v>
      </c>
      <c r="AZ33" t="s">
        <v>245</v>
      </c>
      <c r="BF33" t="s">
        <v>695</v>
      </c>
    </row>
    <row r="34" spans="5:58" ht="20.100000000000001" customHeight="1">
      <c r="E34" s="130" t="s">
        <v>42</v>
      </c>
      <c r="F34" s="278" t="s">
        <v>50</v>
      </c>
      <c r="H34" s="153"/>
      <c r="I34" s="153"/>
      <c r="J34" s="153"/>
      <c r="K34" s="153"/>
      <c r="L34" s="218" t="str">
        <f t="shared" si="9"/>
        <v/>
      </c>
      <c r="M34" s="243" t="str">
        <f>+IFERROR(IF(COUNT(L34),ROUND(L34/'Shareholding Pattern'!$L$57*100,2),""),"")</f>
        <v/>
      </c>
      <c r="N34" s="361" t="str">
        <f t="shared" si="7"/>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8"/>
        <v/>
      </c>
      <c r="X34" s="483"/>
      <c r="Y34" s="484"/>
      <c r="Z34" s="153"/>
      <c r="AR34" t="s">
        <v>201</v>
      </c>
      <c r="AX34" t="s">
        <v>225</v>
      </c>
      <c r="AZ34" t="s">
        <v>246</v>
      </c>
      <c r="BF34" t="s">
        <v>708</v>
      </c>
    </row>
    <row r="35" spans="5:58" ht="20.100000000000001" customHeight="1">
      <c r="E35" s="130" t="s">
        <v>51</v>
      </c>
      <c r="F35" s="278" t="s">
        <v>31</v>
      </c>
      <c r="H35" s="153"/>
      <c r="I35" s="153"/>
      <c r="J35" s="153"/>
      <c r="K35" s="153"/>
      <c r="L35" s="218" t="str">
        <f t="shared" si="9"/>
        <v/>
      </c>
      <c r="M35" s="243" t="str">
        <f>+IFERROR(IF(COUNT(L35),ROUND(L35/'Shareholding Pattern'!$L$57*100,2),""),"")</f>
        <v/>
      </c>
      <c r="N35" s="361" t="str">
        <f t="shared" si="7"/>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8"/>
        <v/>
      </c>
      <c r="X35" s="483"/>
      <c r="Y35" s="484"/>
      <c r="Z35" s="153"/>
      <c r="AR35" t="s">
        <v>202</v>
      </c>
      <c r="AX35" t="s">
        <v>226</v>
      </c>
      <c r="AZ35" t="s">
        <v>923</v>
      </c>
      <c r="BF35" t="s">
        <v>721</v>
      </c>
    </row>
    <row r="36" spans="5:58" ht="20.100000000000001" customHeight="1">
      <c r="E36" s="130" t="s">
        <v>52</v>
      </c>
      <c r="F36" s="278" t="s">
        <v>53</v>
      </c>
      <c r="H36" s="153"/>
      <c r="I36" s="153"/>
      <c r="J36" s="153"/>
      <c r="K36" s="153"/>
      <c r="L36" s="218" t="str">
        <f t="shared" si="9"/>
        <v/>
      </c>
      <c r="M36" s="243" t="str">
        <f>+IFERROR(IF(COUNT(L36),ROUND(L36/'Shareholding Pattern'!$L$57*100,2),""),"")</f>
        <v/>
      </c>
      <c r="N36" s="361" t="str">
        <f t="shared" si="7"/>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8"/>
        <v/>
      </c>
      <c r="X36" s="483"/>
      <c r="Y36" s="484"/>
      <c r="Z36" s="153"/>
      <c r="AR36" t="s">
        <v>203</v>
      </c>
      <c r="AX36" t="s">
        <v>523</v>
      </c>
      <c r="AZ36" t="s">
        <v>247</v>
      </c>
      <c r="BF36" t="s">
        <v>734</v>
      </c>
    </row>
    <row r="37" spans="5:58" ht="20.100000000000001" customHeight="1">
      <c r="E37" s="130" t="s">
        <v>54</v>
      </c>
      <c r="F37" s="278" t="s">
        <v>55</v>
      </c>
      <c r="H37" s="153"/>
      <c r="I37" s="153"/>
      <c r="J37" s="153"/>
      <c r="K37" s="153"/>
      <c r="L37" s="218" t="str">
        <f t="shared" si="9"/>
        <v/>
      </c>
      <c r="M37" s="243" t="str">
        <f>+IFERROR(IF(COUNT(L37),ROUND(L37/'Shareholding Pattern'!$L$57*100,2),""),"")</f>
        <v/>
      </c>
      <c r="N37" s="361" t="str">
        <f t="shared" si="7"/>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8"/>
        <v/>
      </c>
      <c r="X37" s="483"/>
      <c r="Y37" s="484"/>
      <c r="Z37" s="153"/>
      <c r="AR37" t="s">
        <v>204</v>
      </c>
      <c r="AX37" t="s">
        <v>227</v>
      </c>
      <c r="AZ37" t="s">
        <v>248</v>
      </c>
      <c r="BF37" t="s">
        <v>818</v>
      </c>
    </row>
    <row r="38" spans="5:58" ht="20.100000000000001" customHeight="1">
      <c r="E38" s="136" t="s">
        <v>56</v>
      </c>
      <c r="F38" s="280" t="s">
        <v>33</v>
      </c>
      <c r="H38" s="153"/>
      <c r="I38" s="153"/>
      <c r="J38" s="153"/>
      <c r="K38" s="153"/>
      <c r="L38" s="245" t="str">
        <f t="shared" si="9"/>
        <v/>
      </c>
      <c r="M38" s="289" t="str">
        <f>+IFERROR(IF(COUNT(L38),ROUND(L38/'Shareholding Pattern'!$L$57*100,2),""),"")</f>
        <v/>
      </c>
      <c r="N38" s="361" t="str">
        <f t="shared" si="7"/>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8"/>
        <v/>
      </c>
      <c r="X38" s="483"/>
      <c r="Y38" s="484"/>
      <c r="Z38" s="153"/>
      <c r="AR38" t="s">
        <v>205</v>
      </c>
      <c r="AX38" t="s">
        <v>524</v>
      </c>
      <c r="AZ38" t="s">
        <v>249</v>
      </c>
      <c r="BF38" t="s">
        <v>831</v>
      </c>
    </row>
    <row r="39" spans="5:58" ht="20.100000000000001" customHeight="1">
      <c r="E39" s="447" t="s">
        <v>57</v>
      </c>
      <c r="F39" s="447"/>
      <c r="G39" s="447"/>
      <c r="H39" s="4" t="str">
        <f t="shared" ref="H39:Z39" si="12">+IFERROR(IF(COUNT(H30:H38),ROUND(SUM(H30:H38),0),""),"")</f>
        <v/>
      </c>
      <c r="I39" s="4" t="str">
        <f t="shared" si="12"/>
        <v/>
      </c>
      <c r="J39" s="4" t="str">
        <f t="shared" si="12"/>
        <v/>
      </c>
      <c r="K39" s="77" t="str">
        <f t="shared" si="12"/>
        <v/>
      </c>
      <c r="L39" s="77" t="str">
        <f t="shared" si="9"/>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8"/>
        <v/>
      </c>
      <c r="X39" s="483"/>
      <c r="Y39" s="484"/>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1"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29"/>
      <c r="W40" s="317" t="str">
        <f t="shared" si="8"/>
        <v/>
      </c>
      <c r="X40" s="483"/>
      <c r="Y40" s="484"/>
      <c r="Z40" s="329"/>
      <c r="AR40" t="s">
        <v>207</v>
      </c>
      <c r="AX40" t="s">
        <v>228</v>
      </c>
      <c r="AZ40" t="s">
        <v>250</v>
      </c>
      <c r="BF40" t="s">
        <v>864</v>
      </c>
    </row>
    <row r="41" spans="5:58" ht="20.100000000000001" customHeight="1">
      <c r="E41" s="447" t="s">
        <v>62</v>
      </c>
      <c r="F41" s="447"/>
      <c r="G41" s="447"/>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8"/>
        <v/>
      </c>
      <c r="X41" s="483"/>
      <c r="Y41" s="484"/>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83"/>
      <c r="Y42" s="484"/>
      <c r="Z42" s="190"/>
    </row>
    <row r="43" spans="5:58" ht="51.75" customHeight="1">
      <c r="E43" s="170" t="s">
        <v>76</v>
      </c>
      <c r="F43" s="276" t="s">
        <v>65</v>
      </c>
      <c r="H43" s="153">
        <v>2701</v>
      </c>
      <c r="I43" s="153">
        <v>2305791</v>
      </c>
      <c r="J43" s="153"/>
      <c r="K43" s="153"/>
      <c r="L43" s="252">
        <f>+IFERROR(IF(COUNT(I43:K43),ROUND(SUM(I43:K43),0),""),"")</f>
        <v>2305791</v>
      </c>
      <c r="M43" s="253">
        <f>+IFERROR(IF(COUNT(L43),ROUND(L43/'Shareholding Pattern'!$L$57*100,2),""),"")</f>
        <v>21.2</v>
      </c>
      <c r="N43" s="361">
        <f t="shared" ref="N43:N48" si="17">IF(I43="","",I43)</f>
        <v>2305791</v>
      </c>
      <c r="O43" s="153"/>
      <c r="P43" s="254">
        <f t="shared" ref="P43" si="18">+IFERROR(IF(COUNT(N43:O43),ROUND(SUM(N43:O43),0),""),"")</f>
        <v>2305791</v>
      </c>
      <c r="Q43" s="206">
        <f>+IFERROR(IF(COUNT(P43),ROUND(P43/'Shareholding Pattern'!$P$58*100,2),""),"")</f>
        <v>21.2</v>
      </c>
      <c r="R43" s="153"/>
      <c r="S43" s="153"/>
      <c r="T43" s="254" t="str">
        <f>+IFERROR(IF(COUNT(R43:S43),ROUND(SUM(R43:S43),0),""),"")</f>
        <v/>
      </c>
      <c r="U43" s="255">
        <f>+IFERROR(IF(COUNT(L43,T43),ROUND(SUM(L43,T43)/SUM('Shareholding Pattern'!$L$57,'Shareholding Pattern'!$T$57)*100,2),""),"")</f>
        <v>21.2</v>
      </c>
      <c r="V43" s="330"/>
      <c r="W43" s="212" t="str">
        <f t="shared" ref="W43:W50" si="19">+IFERROR(IF(COUNT(V43),ROUND(SUM(V43)/SUM(L43)*100,2),""),0)</f>
        <v/>
      </c>
      <c r="X43" s="483"/>
      <c r="Y43" s="484"/>
      <c r="Z43" s="153">
        <v>2137438</v>
      </c>
      <c r="AR43" t="s">
        <v>208</v>
      </c>
    </row>
    <row r="44" spans="5:58" ht="43.5" customHeight="1">
      <c r="E44" s="170" t="s">
        <v>77</v>
      </c>
      <c r="F44" s="277" t="s">
        <v>66</v>
      </c>
      <c r="H44" s="153">
        <v>28</v>
      </c>
      <c r="I44" s="153">
        <v>2634065</v>
      </c>
      <c r="J44" s="153"/>
      <c r="K44" s="153"/>
      <c r="L44" s="252">
        <f t="shared" ref="L44:L50" si="20">+IFERROR(IF(COUNT(I44:K44),ROUND(SUM(I44:K44),0),""),"")</f>
        <v>2634065</v>
      </c>
      <c r="M44" s="253">
        <f>+IFERROR(IF(COUNT(L44),ROUND(L44/'Shareholding Pattern'!$L$57*100,2),""),"")</f>
        <v>24.21</v>
      </c>
      <c r="N44" s="361">
        <f t="shared" si="17"/>
        <v>2634065</v>
      </c>
      <c r="O44" s="153"/>
      <c r="P44" s="254">
        <f t="shared" ref="P44:P48" si="21">+IFERROR(IF(COUNT(N44:O44),ROUND(SUM(N44:O44),0),""),"")</f>
        <v>2634065</v>
      </c>
      <c r="Q44" s="206">
        <f>+IFERROR(IF(COUNT(P44),ROUND(P44/'Shareholding Pattern'!$P$58*100,2),""),"")</f>
        <v>24.21</v>
      </c>
      <c r="R44" s="153"/>
      <c r="S44" s="153"/>
      <c r="T44" s="254" t="str">
        <f t="shared" ref="T44:T50" si="22">+IFERROR(IF(COUNT(R44:S44),ROUND(SUM(R44:S44),0),""),"")</f>
        <v/>
      </c>
      <c r="U44" s="255">
        <f>+IFERROR(IF(COUNT(L44,T44),ROUND(SUM(L44,T44)/SUM('Shareholding Pattern'!$L$57,'Shareholding Pattern'!$T$57)*100,2),""),"")</f>
        <v>24.21</v>
      </c>
      <c r="V44" s="330"/>
      <c r="W44" s="212" t="str">
        <f t="shared" si="19"/>
        <v/>
      </c>
      <c r="X44" s="483"/>
      <c r="Y44" s="484"/>
      <c r="Z44" s="153">
        <v>2634065</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1"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0"/>
      <c r="W45" s="212" t="str">
        <f t="shared" si="19"/>
        <v/>
      </c>
      <c r="X45" s="483"/>
      <c r="Y45" s="484"/>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1"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0"/>
      <c r="W46" s="212" t="str">
        <f t="shared" si="19"/>
        <v/>
      </c>
      <c r="X46" s="483"/>
      <c r="Y46" s="484"/>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1"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83"/>
      <c r="Y47" s="484"/>
      <c r="Z47" s="153"/>
      <c r="AR47" t="s">
        <v>212</v>
      </c>
    </row>
    <row r="48" spans="5:58" ht="20.100000000000001" customHeight="1">
      <c r="E48" s="191" t="s">
        <v>42</v>
      </c>
      <c r="F48" s="280" t="s">
        <v>33</v>
      </c>
      <c r="H48" s="153">
        <v>136</v>
      </c>
      <c r="I48" s="153">
        <v>1318648</v>
      </c>
      <c r="J48" s="153"/>
      <c r="K48" s="153"/>
      <c r="L48" s="256">
        <f t="shared" si="20"/>
        <v>1318648</v>
      </c>
      <c r="M48" s="257">
        <f>+IFERROR(IF(COUNT(L48),ROUND(L48/'Shareholding Pattern'!$L$57*100,2),""),"")</f>
        <v>12.12</v>
      </c>
      <c r="N48" s="361">
        <f t="shared" si="17"/>
        <v>1318648</v>
      </c>
      <c r="O48" s="153"/>
      <c r="P48" s="258">
        <f t="shared" si="21"/>
        <v>1318648</v>
      </c>
      <c r="Q48" s="259">
        <f>+IFERROR(IF(COUNT(P48),ROUND(P48/'Shareholding Pattern'!$P$58*100,2),""),"")</f>
        <v>12.12</v>
      </c>
      <c r="R48" s="153"/>
      <c r="S48" s="153"/>
      <c r="T48" s="258" t="str">
        <f t="shared" si="22"/>
        <v/>
      </c>
      <c r="U48" s="260">
        <f>+IFERROR(IF(COUNT(L48,T48),ROUND(SUM(L48,T48)/SUM('Shareholding Pattern'!$L$57,'Shareholding Pattern'!$T$57)*100,2),""),"")</f>
        <v>12.12</v>
      </c>
      <c r="V48" s="153"/>
      <c r="W48" s="261" t="str">
        <f t="shared" si="19"/>
        <v/>
      </c>
      <c r="X48" s="483"/>
      <c r="Y48" s="484"/>
      <c r="Z48" s="153">
        <v>344683</v>
      </c>
      <c r="AR48" t="s">
        <v>213</v>
      </c>
    </row>
    <row r="49" spans="5:44" ht="20.100000000000001" customHeight="1">
      <c r="E49" s="447" t="s">
        <v>70</v>
      </c>
      <c r="F49" s="447"/>
      <c r="G49" s="447"/>
      <c r="H49" s="193">
        <f>+IFERROR(IF(COUNT(H43:H48),ROUND(SUM(H43:H48),0),""),"")</f>
        <v>2865</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83"/>
      <c r="Y49" s="484"/>
      <c r="Z49" s="193">
        <f t="shared" ref="Z49" si="26">+IFERROR(IF(COUNT(Z43:Z48),ROUND(SUM(Z43:Z48),0),""),"")</f>
        <v>5116186</v>
      </c>
      <c r="AR49" t="s">
        <v>214</v>
      </c>
    </row>
    <row r="50" spans="5:44" ht="20.100000000000001" customHeight="1">
      <c r="E50" s="448" t="s">
        <v>106</v>
      </c>
      <c r="F50" s="448"/>
      <c r="G50" s="448"/>
      <c r="H50" s="193">
        <f>+IFERROR(IF(COUNT(H39,H41,H49),ROUND(SUM(H39,H41,H49),0),""),"")</f>
        <v>2865</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85"/>
      <c r="Y50" s="486"/>
      <c r="Z50" s="193">
        <f t="shared" ref="Z50" si="28">+IFERROR(IF(COUNT(Z39,Z41,Z49),ROUND(SUM(Z39,Z41,Z49),0),""),"")</f>
        <v>5116186</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75" t="s">
        <v>59</v>
      </c>
      <c r="G53" s="476"/>
      <c r="H53" s="476"/>
      <c r="I53" s="476"/>
      <c r="J53" s="476"/>
      <c r="K53" s="476"/>
      <c r="L53" s="476"/>
      <c r="M53" s="476"/>
      <c r="N53" s="476"/>
      <c r="O53" s="476"/>
      <c r="P53" s="476"/>
      <c r="Q53" s="476"/>
      <c r="R53" s="476"/>
      <c r="S53" s="476"/>
      <c r="T53" s="476"/>
      <c r="U53" s="476"/>
      <c r="V53" s="476"/>
      <c r="W53" s="476"/>
      <c r="X53" s="476"/>
      <c r="Y53" s="476"/>
      <c r="Z53" s="477"/>
    </row>
    <row r="54" spans="5:44" ht="33" customHeight="1">
      <c r="E54" s="139" t="s">
        <v>78</v>
      </c>
      <c r="F54" s="282" t="s">
        <v>71</v>
      </c>
      <c r="H54" s="153"/>
      <c r="I54" s="153"/>
      <c r="J54" s="153"/>
      <c r="K54" s="153"/>
      <c r="L54" s="252" t="str">
        <f>+IFERROR(IF(COUNT(I54:K54),ROUND(SUM(I54:K54),2),""),"")</f>
        <v/>
      </c>
      <c r="M54" s="204"/>
      <c r="N54" s="361"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1"/>
      <c r="W54" s="212" t="str">
        <f t="shared" ref="W54:W58" si="30">+IFERROR(IF(COUNT(V54),ROUND(SUM(V54)/SUM(L54)*100,2),""),0)</f>
        <v/>
      </c>
      <c r="X54" s="461"/>
      <c r="Y54" s="462"/>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1"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1"/>
      <c r="W55" s="212" t="str">
        <f t="shared" si="30"/>
        <v/>
      </c>
      <c r="X55" s="463"/>
      <c r="Y55" s="464"/>
      <c r="Z55" s="153"/>
      <c r="AR55" t="s">
        <v>217</v>
      </c>
    </row>
    <row r="56" spans="5:44" ht="31.5" customHeight="1">
      <c r="E56" s="480" t="s">
        <v>73</v>
      </c>
      <c r="F56" s="480"/>
      <c r="G56" s="480"/>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63"/>
      <c r="Y56" s="464"/>
      <c r="Z56" s="171" t="str">
        <f t="shared" si="31"/>
        <v/>
      </c>
      <c r="AR56" t="s">
        <v>218</v>
      </c>
    </row>
    <row r="57" spans="5:44" ht="26.25" customHeight="1">
      <c r="E57" s="474" t="s">
        <v>74</v>
      </c>
      <c r="F57" s="474"/>
      <c r="G57" s="474"/>
      <c r="H57" s="173">
        <f t="shared" ref="H57:Z57" si="32">+IFERROR(IF(COUNT(H26,H50,H55),ROUND(SUM(H26,H50,H55),0),""),"")</f>
        <v>2869</v>
      </c>
      <c r="I57" s="173">
        <f t="shared" si="32"/>
        <v>10878748</v>
      </c>
      <c r="J57" s="173" t="str">
        <f t="shared" si="32"/>
        <v/>
      </c>
      <c r="K57" s="173" t="str">
        <f t="shared" si="32"/>
        <v/>
      </c>
      <c r="L57" s="173">
        <f t="shared" si="32"/>
        <v>10878748</v>
      </c>
      <c r="M57" s="205">
        <f>+IFERROR(IF(COUNT(L57),ROUND(L57/'Shareholding Pattern'!$L$57*100,2),""),0)</f>
        <v>100</v>
      </c>
      <c r="N57" s="177">
        <f t="shared" si="32"/>
        <v>10878748</v>
      </c>
      <c r="O57" s="177" t="str">
        <f t="shared" si="32"/>
        <v/>
      </c>
      <c r="P57" s="173">
        <f t="shared" si="32"/>
        <v>10878748</v>
      </c>
      <c r="Q57" s="206">
        <f>+IFERROR(IF(COUNT(P57),ROUND(P57/'Shareholding Pattern'!$P$58*100,2),""),0)</f>
        <v>100</v>
      </c>
      <c r="R57" s="173" t="str">
        <f t="shared" si="32"/>
        <v/>
      </c>
      <c r="S57" s="173" t="str">
        <f t="shared" si="32"/>
        <v/>
      </c>
      <c r="T57" s="173" t="str">
        <f t="shared" si="32"/>
        <v/>
      </c>
      <c r="U57" s="176">
        <f>+IFERROR(IF(COUNT(L57,T57),ROUND(SUM(L57,T57)/SUM('Shareholding Pattern'!$L$57,'Shareholding Pattern'!$T$57)*100,2),""),0)</f>
        <v>100</v>
      </c>
      <c r="V57" s="173" t="str">
        <f t="shared" si="32"/>
        <v/>
      </c>
      <c r="W57" s="212" t="str">
        <f t="shared" si="30"/>
        <v/>
      </c>
      <c r="X57" s="465"/>
      <c r="Y57" s="466"/>
      <c r="Z57" s="171">
        <f t="shared" si="32"/>
        <v>9736430</v>
      </c>
    </row>
    <row r="58" spans="5:44" ht="22.5" customHeight="1">
      <c r="E58" s="474" t="s">
        <v>75</v>
      </c>
      <c r="F58" s="474"/>
      <c r="G58" s="474"/>
      <c r="H58" s="173">
        <f t="shared" ref="H58:Z58" si="33">+IFERROR(IF(COUNT(H26,H50,H56),ROUND(SUM(H26,H50,H56),0),""),"")</f>
        <v>2869</v>
      </c>
      <c r="I58" s="173">
        <f t="shared" si="33"/>
        <v>10878748</v>
      </c>
      <c r="J58" s="173" t="str">
        <f t="shared" si="33"/>
        <v/>
      </c>
      <c r="K58" s="173" t="str">
        <f t="shared" si="33"/>
        <v/>
      </c>
      <c r="L58" s="173">
        <f t="shared" si="33"/>
        <v>10878748</v>
      </c>
      <c r="M58" s="325">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6">
        <f t="shared" si="33"/>
        <v>100</v>
      </c>
      <c r="V58" s="173" t="str">
        <f t="shared" si="33"/>
        <v/>
      </c>
      <c r="W58" s="212" t="str">
        <f t="shared" si="30"/>
        <v/>
      </c>
      <c r="X58" s="173" t="str">
        <f t="shared" si="33"/>
        <v/>
      </c>
      <c r="Y58" s="212" t="str">
        <f>+IFERROR(IF(COUNT(X58),ROUND(SUM(X58)/SUM(L58)*100,2),""),0)</f>
        <v/>
      </c>
      <c r="Z58" s="171">
        <f t="shared" si="33"/>
        <v>9736430</v>
      </c>
      <c r="AR58" t="s">
        <v>219</v>
      </c>
    </row>
    <row r="59" spans="5:44" ht="37.5" customHeight="1">
      <c r="E59" s="489" t="s">
        <v>184</v>
      </c>
      <c r="F59" s="490"/>
      <c r="G59" s="490"/>
      <c r="H59" s="490"/>
      <c r="I59" s="490"/>
      <c r="J59" s="490"/>
      <c r="K59" s="490"/>
      <c r="L59" s="490"/>
      <c r="M59" s="491"/>
      <c r="N59" s="487"/>
      <c r="O59" s="488"/>
      <c r="P59" s="293"/>
      <c r="Q59" s="294"/>
      <c r="R59" s="294"/>
      <c r="S59" s="294"/>
      <c r="T59" s="294"/>
      <c r="U59" s="294"/>
      <c r="V59" s="294"/>
      <c r="W59" s="294"/>
      <c r="X59" s="478"/>
      <c r="Y59" s="478"/>
      <c r="Z59" s="479"/>
    </row>
    <row r="60" spans="5:44"/>
  </sheetData>
  <sheetProtection password="F884" sheet="1" objects="1" scenarios="1"/>
  <mergeCells count="36">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s>
  <dataValidations count="7">
    <dataValidation type="whole" operator="lessThanOrEqual" allowBlank="1" showInputMessage="1" showErrorMessage="1" sqref="V30:V38 V40 V43:V48 V54:V55">
      <formula1>I30</formula1>
    </dataValidation>
    <dataValidation type="whole" operator="lessThanOrEqual" allowBlank="1" showInputMessage="1" showErrorMessage="1" sqref="Z31:Z38 Z55">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H48 N30:O38 I54:K55 R40:S40 R30:S38 I30:K38 N40:O40 R54:S55 I43:K48 I40:K40 R43:S48 N43:O43 N45:O48 N44 N54:O55">
      <formula1>0</formula1>
    </dataValidation>
    <dataValidation type="whole" operator="greaterThan" allowBlank="1" showInputMessage="1" showErrorMessage="1" sqref="H54:H55 H40 H43:H47 H30:H38">
      <formula1>0</formula1>
    </dataValidation>
    <dataValidation operator="greaterThan" allowBlank="1" showInputMessage="1" showErrorMessage="1" sqref="H20:H24 H14:H17"/>
    <dataValidation type="decimal" operator="lessThanOrEqual" allowBlank="1" showInputMessage="1" showErrorMessage="1" sqref="Z54">
      <formula1>L54</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85546875" hidden="1"/>
    <col min="16384" max="16384" width="4.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37" t="s">
        <v>138</v>
      </c>
      <c r="F9" s="437" t="s">
        <v>137</v>
      </c>
      <c r="G9" s="456" t="s">
        <v>1</v>
      </c>
      <c r="H9" s="456" t="s">
        <v>3</v>
      </c>
      <c r="I9" s="456" t="s">
        <v>4</v>
      </c>
      <c r="J9" s="456" t="s">
        <v>5</v>
      </c>
      <c r="K9" s="456" t="s">
        <v>6</v>
      </c>
      <c r="L9" s="456" t="s">
        <v>7</v>
      </c>
      <c r="M9" s="492" t="s">
        <v>8</v>
      </c>
      <c r="N9" s="493"/>
      <c r="O9" s="493"/>
      <c r="P9" s="494"/>
      <c r="Q9" s="456" t="s">
        <v>9</v>
      </c>
      <c r="R9" s="456" t="s">
        <v>1064</v>
      </c>
      <c r="S9" s="456" t="s">
        <v>135</v>
      </c>
      <c r="T9" s="437" t="s">
        <v>144</v>
      </c>
      <c r="U9" s="467" t="s">
        <v>12</v>
      </c>
      <c r="V9" s="468"/>
      <c r="W9" s="467" t="s">
        <v>13</v>
      </c>
      <c r="X9" s="468"/>
      <c r="Y9" s="456" t="s">
        <v>14</v>
      </c>
      <c r="Z9" s="436" t="s">
        <v>1053</v>
      </c>
    </row>
    <row r="10" spans="5:30" ht="31.5" customHeight="1">
      <c r="E10" s="457"/>
      <c r="F10" s="454"/>
      <c r="G10" s="457"/>
      <c r="H10" s="457"/>
      <c r="I10" s="457"/>
      <c r="J10" s="457"/>
      <c r="K10" s="457"/>
      <c r="L10" s="457"/>
      <c r="M10" s="443" t="s">
        <v>136</v>
      </c>
      <c r="N10" s="451"/>
      <c r="O10" s="452"/>
      <c r="P10" s="456" t="s">
        <v>16</v>
      </c>
      <c r="Q10" s="457"/>
      <c r="R10" s="457"/>
      <c r="S10" s="457"/>
      <c r="T10" s="457"/>
      <c r="U10" s="471"/>
      <c r="V10" s="472"/>
      <c r="W10" s="471"/>
      <c r="X10" s="472"/>
      <c r="Y10" s="457"/>
      <c r="Z10" s="445"/>
    </row>
    <row r="11" spans="5:30" ht="78.75" customHeight="1">
      <c r="E11" s="458"/>
      <c r="F11" s="455"/>
      <c r="G11" s="458"/>
      <c r="H11" s="458"/>
      <c r="I11" s="458"/>
      <c r="J11" s="458"/>
      <c r="K11" s="458"/>
      <c r="L11" s="458"/>
      <c r="M11" s="36" t="s">
        <v>142</v>
      </c>
      <c r="N11" s="36" t="s">
        <v>18</v>
      </c>
      <c r="O11" s="35" t="s">
        <v>19</v>
      </c>
      <c r="P11" s="458"/>
      <c r="Q11" s="458"/>
      <c r="R11" s="458"/>
      <c r="S11" s="458"/>
      <c r="T11" s="458"/>
      <c r="U11" s="35" t="s">
        <v>20</v>
      </c>
      <c r="V11" s="35" t="s">
        <v>21</v>
      </c>
      <c r="W11" s="35" t="s">
        <v>20</v>
      </c>
      <c r="X11" s="35" t="s">
        <v>21</v>
      </c>
      <c r="Y11" s="458"/>
      <c r="Z11" s="445"/>
    </row>
    <row r="12" spans="5:30" ht="16.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f>IF(COUNT(H19:$Y$15004)=0,"",SUM(AC1:AC65536))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69" t="s">
        <v>1077</v>
      </c>
      <c r="G15" s="370" t="s">
        <v>1081</v>
      </c>
      <c r="H15" s="51">
        <v>590554</v>
      </c>
      <c r="I15" s="51"/>
      <c r="J15" s="51"/>
      <c r="K15" s="368">
        <f>+IFERROR(IF(COUNT(H15:J15),ROUND(SUM(H15:J15),0),""),"")</f>
        <v>590554</v>
      </c>
      <c r="L15" s="55">
        <f>+IFERROR(IF(COUNT(K15),ROUND(K15/'Shareholding Pattern'!$L$57*100,2),""),0)</f>
        <v>5.43</v>
      </c>
      <c r="M15" s="233">
        <f>IF(H15="","",H15)</f>
        <v>590554</v>
      </c>
      <c r="N15" s="233"/>
      <c r="O15" s="318">
        <f>+IFERROR(IF(COUNT(M15:N15),ROUND(SUM(M15,N15),2),""),"")</f>
        <v>590554</v>
      </c>
      <c r="P15" s="55">
        <f>+IFERROR(IF(COUNT(O15),ROUND(O15/('Shareholding Pattern'!$P$58)*100,2),""),0)</f>
        <v>5.43</v>
      </c>
      <c r="Q15" s="51"/>
      <c r="R15" s="51"/>
      <c r="S15" s="368" t="str">
        <f>+IFERROR(IF(COUNT(Q15:R15),ROUND(SUM(Q15:R15),0),""),"")</f>
        <v/>
      </c>
      <c r="T15" s="17">
        <f>+IFERROR(IF(COUNT(K15,S15),ROUND(SUM(S15,K15)/SUM('Shareholding Pattern'!$L$57,'Shareholding Pattern'!$T$57)*100,2),""),0)</f>
        <v>5.43</v>
      </c>
      <c r="U15" s="51"/>
      <c r="V15" s="318" t="str">
        <f>+IFERROR(IF(COUNT(U15),ROUND(SUM(U15)/SUM(K15)*100,2),""),0)</f>
        <v/>
      </c>
      <c r="W15" s="51"/>
      <c r="X15" s="318" t="str">
        <f>+IFERROR(IF(COUNT(W15),ROUND(SUM(W15)/SUM(K15)*100,2),""),0)</f>
        <v/>
      </c>
      <c r="Y15" s="51">
        <v>590554</v>
      </c>
      <c r="Z15" s="316"/>
      <c r="AA15" s="11"/>
      <c r="AB15" s="11"/>
      <c r="AC15" s="11">
        <f>IF(SUM(H15:Y15)&gt;0,1,0)</f>
        <v>1</v>
      </c>
    </row>
    <row r="16" spans="5:30" ht="24.75" customHeight="1">
      <c r="E16" s="221">
        <v>2</v>
      </c>
      <c r="F16" s="369" t="s">
        <v>1078</v>
      </c>
      <c r="G16" s="370" t="s">
        <v>1082</v>
      </c>
      <c r="H16" s="51">
        <v>2322740</v>
      </c>
      <c r="I16" s="51"/>
      <c r="J16" s="51"/>
      <c r="K16" s="368">
        <f>+IFERROR(IF(COUNT(H16:J16),ROUND(SUM(H16:J16),0),""),"")</f>
        <v>2322740</v>
      </c>
      <c r="L16" s="55">
        <f>+IFERROR(IF(COUNT(K16),ROUND(K16/'Shareholding Pattern'!$L$57*100,2),""),0)</f>
        <v>21.35</v>
      </c>
      <c r="M16" s="233">
        <f>IF(H16="","",H16)</f>
        <v>2322740</v>
      </c>
      <c r="N16" s="233"/>
      <c r="O16" s="318">
        <f>+IFERROR(IF(COUNT(M16:N16),ROUND(SUM(M16,N16),2),""),"")</f>
        <v>2322740</v>
      </c>
      <c r="P16" s="55">
        <f>+IFERROR(IF(COUNT(O16),ROUND(O16/('Shareholding Pattern'!$P$58)*100,2),""),0)</f>
        <v>21.35</v>
      </c>
      <c r="Q16" s="51"/>
      <c r="R16" s="51"/>
      <c r="S16" s="368" t="str">
        <f>+IFERROR(IF(COUNT(Q16:R16),ROUND(SUM(Q16:R16),0),""),"")</f>
        <v/>
      </c>
      <c r="T16" s="17">
        <f>+IFERROR(IF(COUNT(K16,S16),ROUND(SUM(S16,K16)/SUM('Shareholding Pattern'!$L$57,'Shareholding Pattern'!$T$57)*100,2),""),0)</f>
        <v>21.35</v>
      </c>
      <c r="U16" s="51"/>
      <c r="V16" s="318" t="str">
        <f>+IFERROR(IF(COUNT(U16),ROUND(SUM(U16)/SUM(K16)*100,2),""),0)</f>
        <v/>
      </c>
      <c r="W16" s="51"/>
      <c r="X16" s="318" t="str">
        <f>+IFERROR(IF(COUNT(W16),ROUND(SUM(W16)/SUM(K16)*100,2),""),0)</f>
        <v/>
      </c>
      <c r="Y16" s="51">
        <v>2322740</v>
      </c>
      <c r="Z16" s="316"/>
      <c r="AA16" s="11"/>
      <c r="AB16" s="11"/>
      <c r="AC16" s="11">
        <f>IF(SUM(H16:Y16)&gt;0,1,0)</f>
        <v>1</v>
      </c>
    </row>
    <row r="17" spans="5:29" ht="24.75" customHeight="1">
      <c r="E17" s="221">
        <v>3</v>
      </c>
      <c r="F17" s="369" t="s">
        <v>1079</v>
      </c>
      <c r="G17" s="370" t="s">
        <v>1083</v>
      </c>
      <c r="H17" s="51">
        <v>859450</v>
      </c>
      <c r="I17" s="51"/>
      <c r="J17" s="51"/>
      <c r="K17" s="368">
        <f>+IFERROR(IF(COUNT(H17:J17),ROUND(SUM(H17:J17),0),""),"")</f>
        <v>859450</v>
      </c>
      <c r="L17" s="55">
        <f>+IFERROR(IF(COUNT(K17),ROUND(K17/'Shareholding Pattern'!$L$57*100,2),""),0)</f>
        <v>7.9</v>
      </c>
      <c r="M17" s="233">
        <f>IF(H17="","",H17)</f>
        <v>859450</v>
      </c>
      <c r="N17" s="233"/>
      <c r="O17" s="318">
        <f>+IFERROR(IF(COUNT(M17:N17),ROUND(SUM(M17,N17),2),""),"")</f>
        <v>859450</v>
      </c>
      <c r="P17" s="55">
        <f>+IFERROR(IF(COUNT(O17),ROUND(O17/('Shareholding Pattern'!$P$58)*100,2),""),0)</f>
        <v>7.9</v>
      </c>
      <c r="Q17" s="51"/>
      <c r="R17" s="51"/>
      <c r="S17" s="368" t="str">
        <f>+IFERROR(IF(COUNT(Q17:R17),ROUND(SUM(Q17:R17),0),""),"")</f>
        <v/>
      </c>
      <c r="T17" s="17">
        <f>+IFERROR(IF(COUNT(K17,S17),ROUND(SUM(S17,K17)/SUM('Shareholding Pattern'!$L$57,'Shareholding Pattern'!$T$57)*100,2),""),0)</f>
        <v>7.9</v>
      </c>
      <c r="U17" s="51"/>
      <c r="V17" s="318" t="str">
        <f>+IFERROR(IF(COUNT(U17),ROUND(SUM(U17)/SUM(K17)*100,2),""),0)</f>
        <v/>
      </c>
      <c r="W17" s="51"/>
      <c r="X17" s="318" t="str">
        <f>+IFERROR(IF(COUNT(W17),ROUND(SUM(W17)/SUM(K17)*100,2),""),0)</f>
        <v/>
      </c>
      <c r="Y17" s="51">
        <v>859450</v>
      </c>
      <c r="Z17" s="316"/>
      <c r="AA17" s="11"/>
      <c r="AB17" s="11"/>
      <c r="AC17" s="11">
        <f>IF(SUM(H17:Y17)&gt;0,1,0)</f>
        <v>1</v>
      </c>
    </row>
    <row r="18" spans="5:29" ht="24.75" customHeight="1">
      <c r="E18" s="221">
        <v>4</v>
      </c>
      <c r="F18" s="369" t="s">
        <v>1080</v>
      </c>
      <c r="G18" s="370" t="s">
        <v>1084</v>
      </c>
      <c r="H18" s="51">
        <v>847500</v>
      </c>
      <c r="I18" s="51"/>
      <c r="J18" s="51"/>
      <c r="K18" s="368">
        <f>+IFERROR(IF(COUNT(H18:J18),ROUND(SUM(H18:J18),0),""),"")</f>
        <v>847500</v>
      </c>
      <c r="L18" s="55">
        <f>+IFERROR(IF(COUNT(K18),ROUND(K18/'Shareholding Pattern'!$L$57*100,2),""),0)</f>
        <v>7.79</v>
      </c>
      <c r="M18" s="233">
        <f>IF(H18="","",H18)</f>
        <v>847500</v>
      </c>
      <c r="N18" s="233"/>
      <c r="O18" s="318">
        <f>+IFERROR(IF(COUNT(M18:N18),ROUND(SUM(M18,N18),2),""),"")</f>
        <v>847500</v>
      </c>
      <c r="P18" s="55">
        <f>+IFERROR(IF(COUNT(O18),ROUND(O18/('Shareholding Pattern'!$P$58)*100,2),""),0)</f>
        <v>7.79</v>
      </c>
      <c r="Q18" s="51"/>
      <c r="R18" s="51"/>
      <c r="S18" s="368" t="str">
        <f>+IFERROR(IF(COUNT(Q18:R18),ROUND(SUM(Q18:R18),0),""),"")</f>
        <v/>
      </c>
      <c r="T18" s="17">
        <f>+IFERROR(IF(COUNT(K18,S18),ROUND(SUM(S18,K18)/SUM('Shareholding Pattern'!$L$57,'Shareholding Pattern'!$T$57)*100,2),""),0)</f>
        <v>7.79</v>
      </c>
      <c r="U18" s="51"/>
      <c r="V18" s="318" t="str">
        <f>+IFERROR(IF(COUNT(U18),ROUND(SUM(U18)/SUM(K18)*100,2),""),0)</f>
        <v/>
      </c>
      <c r="W18" s="51"/>
      <c r="X18" s="318" t="str">
        <f>+IFERROR(IF(COUNT(W18),ROUND(SUM(W18)/SUM(K18)*100,2),""),0)</f>
        <v/>
      </c>
      <c r="Y18" s="51">
        <v>847500</v>
      </c>
      <c r="Z18" s="316"/>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Pattern'!$L$57*100,2),""),0)</f>
        <v>42.47</v>
      </c>
      <c r="M20" s="38">
        <f>+IFERROR(IF(COUNT(M14:M19),ROUND(SUM(M14:M19),0),""),"")</f>
        <v>4620244</v>
      </c>
      <c r="N20" s="38" t="str">
        <f>+IFERROR(IF(COUNT(N14:N19),ROUND(SUM(N14:N19),0),""),"")</f>
        <v/>
      </c>
      <c r="O20" s="38">
        <f>+IFERROR(IF(COUNT(O14:O19),ROUND(SUM(O14:O19),0),""),"")</f>
        <v>4620244</v>
      </c>
      <c r="P20" s="17">
        <f>+IFERROR(IF(COUNT(O20),ROUND(O20/('Shareholding Pattern'!$P$58)*100,2),""),0)</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Pattern'!$T$57)*100,2),""),0)</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Z9:Z11"/>
    <mergeCell ref="S9:S11"/>
    <mergeCell ref="T9:T11"/>
    <mergeCell ref="U9:V10"/>
    <mergeCell ref="W9:X10"/>
    <mergeCell ref="Y9:Y11"/>
    <mergeCell ref="R9:R11"/>
    <mergeCell ref="I9:I11"/>
    <mergeCell ref="M10:O10"/>
    <mergeCell ref="P10:P11"/>
    <mergeCell ref="J9:J11"/>
    <mergeCell ref="K9:K11"/>
    <mergeCell ref="L9:L11"/>
    <mergeCell ref="M9:P9"/>
    <mergeCell ref="E9:E11"/>
    <mergeCell ref="F9:F11"/>
    <mergeCell ref="G9:G11"/>
    <mergeCell ref="H9:H11"/>
    <mergeCell ref="Q9:Q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H13:J13 N13 Q15:R18 H15:J18 N15:N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F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1.85546875" hidden="1"/>
    <col min="16384" max="16384" width="3.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37" t="s">
        <v>143</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35" t="s">
        <v>17</v>
      </c>
      <c r="N11" s="35" t="s">
        <v>18</v>
      </c>
      <c r="O11" s="35" t="s">
        <v>19</v>
      </c>
      <c r="P11" s="445"/>
      <c r="Q11" s="445"/>
      <c r="R11" s="458"/>
      <c r="S11" s="458"/>
      <c r="T11" s="445"/>
      <c r="U11" s="35" t="s">
        <v>20</v>
      </c>
      <c r="V11" s="45" t="s">
        <v>21</v>
      </c>
      <c r="W11" s="35" t="s">
        <v>20</v>
      </c>
      <c r="X11" s="35" t="s">
        <v>21</v>
      </c>
      <c r="Y11" s="445"/>
      <c r="Z11" s="445"/>
    </row>
    <row r="12" spans="5:30" s="336" customFormat="1" ht="19.5" customHeight="1">
      <c r="E12" s="9" t="s">
        <v>80</v>
      </c>
      <c r="F12" s="495" t="s">
        <v>29</v>
      </c>
      <c r="G12" s="496"/>
      <c r="H12" s="337"/>
      <c r="I12" s="337"/>
      <c r="J12" s="337"/>
      <c r="K12" s="337"/>
      <c r="L12" s="337"/>
      <c r="M12" s="337"/>
      <c r="N12" s="337"/>
      <c r="O12" s="337"/>
      <c r="P12" s="337"/>
      <c r="Q12" s="337"/>
      <c r="R12" s="337"/>
      <c r="S12" s="337"/>
      <c r="T12" s="337"/>
      <c r="U12" s="337"/>
      <c r="V12" s="337"/>
      <c r="W12" s="337"/>
      <c r="X12" s="337"/>
      <c r="Y12" s="337"/>
      <c r="Z12" s="338"/>
    </row>
    <row r="13" spans="5:30" s="344" customFormat="1" ht="18" hidden="1" customHeight="1">
      <c r="E13" s="345"/>
      <c r="F13" s="340"/>
      <c r="G13" s="341"/>
      <c r="H13" s="342"/>
      <c r="I13" s="343"/>
      <c r="J13" s="343"/>
      <c r="K13" s="346" t="str">
        <f>+IFERROR(IF(COUNT(H13:J13),ROUND(SUM(H13:J13),0),""),"")</f>
        <v/>
      </c>
      <c r="L13" s="347" t="str">
        <f>+IFERROR(IF(COUNT(K13),ROUND(K13/'Shareholding Pattern'!$L$57*100,2),""),0)</f>
        <v/>
      </c>
      <c r="M13" s="348" t="str">
        <f>IF(H13="","",H13)</f>
        <v/>
      </c>
      <c r="N13" s="349"/>
      <c r="O13" s="350" t="str">
        <f>+IFERROR(IF(COUNT(M13:N13),ROUND(SUM(M13,N13),2),""),"")</f>
        <v/>
      </c>
      <c r="P13" s="347" t="str">
        <f>+IFERROR(IF(COUNT(O13),ROUND(O13/('Shareholding Pattern'!$P$58)*100,2),""),0)</f>
        <v/>
      </c>
      <c r="Q13" s="343"/>
      <c r="R13" s="343"/>
      <c r="S13" s="351" t="str">
        <f>+IFERROR(IF(COUNT(Q13:R13),ROUND(SUM(Q13:R13),0),""),"")</f>
        <v/>
      </c>
      <c r="T13" s="347" t="str">
        <f>+IFERROR(IF(COUNT(K13,S13),ROUND(SUM(S13,K13)/SUM('Shareholding Pattern'!$L$57,'Shareholding Pattern'!$T$57)*100,2),""),0)</f>
        <v/>
      </c>
      <c r="U13" s="343"/>
      <c r="V13" s="347" t="str">
        <f>+IFERROR(IF(COUNT(U13),ROUND(SUM(U13)/SUM(K13)*100,2),""),0)</f>
        <v/>
      </c>
      <c r="W13" s="343"/>
      <c r="X13" s="347" t="str">
        <f>+IFERROR(IF(COUNT(W13),ROUND(SUM(W13)/SUM(K13)*100,2),""),0)</f>
        <v/>
      </c>
      <c r="Y13" s="342"/>
      <c r="Z13" s="352"/>
      <c r="AC13" s="344">
        <f>IF(SUM(H13:Y13)&gt;0,1,0)</f>
        <v>0</v>
      </c>
      <c r="AD13" s="344" t="str">
        <f>IF(COUNT(H15:$Y$14995)=0,"",SUM(AC1:AC65533))</f>
        <v/>
      </c>
    </row>
    <row r="14" spans="5:30" s="336" customFormat="1" ht="25.5" customHeight="1">
      <c r="E14" s="333"/>
      <c r="F14" s="334"/>
      <c r="G14" s="334"/>
      <c r="H14" s="334"/>
      <c r="I14" s="334"/>
      <c r="J14" s="334"/>
      <c r="K14" s="334"/>
      <c r="L14" s="334"/>
      <c r="M14" s="334"/>
      <c r="N14" s="334"/>
      <c r="O14" s="334"/>
      <c r="P14" s="334"/>
      <c r="Q14" s="334"/>
      <c r="R14" s="334"/>
      <c r="S14" s="334"/>
      <c r="T14" s="334"/>
      <c r="U14" s="334"/>
      <c r="V14" s="334"/>
      <c r="W14" s="334"/>
      <c r="X14" s="334"/>
      <c r="Y14" s="334"/>
      <c r="Z14" s="335"/>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Pattern'!$L$57*100,2),""),0)</f>
        <v/>
      </c>
      <c r="M16" s="38" t="str">
        <f>+IFERROR(IF(COUNT(M14:M15),ROUND(SUM(M14:M15),0),""),"")</f>
        <v/>
      </c>
      <c r="N16" s="38" t="str">
        <f>+IFERROR(IF(COUNT(N14:N15),ROUND(SUM(N14:N15),0),""),"")</f>
        <v/>
      </c>
      <c r="O16" s="55" t="str">
        <f>+IFERROR(IF(COUNT(M16:N16),ROUND(SUM(M16,N16),2),""),"")</f>
        <v/>
      </c>
      <c r="P16" s="17" t="str">
        <f>+IFERROR(IF(COUNT(O16),ROUND(O16/('Shareholding Pattern'!$P$58)*100,2),""),0)</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85546875" hidden="1"/>
    <col min="16384" max="16384" width="5.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929</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930</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75" hidden="1" customHeight="1">
      <c r="E13" s="221"/>
      <c r="F13" s="1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5"/>
      <c r="AC13" s="11">
        <f>IF(SUM(H13:Y13)&gt;0,1,0)</f>
        <v>0</v>
      </c>
      <c r="AD13" s="11" t="str">
        <f>IF(COUNT(H15:$Y$14999)=0,"",SUM(AC1:AC65533))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K9:K11"/>
    <mergeCell ref="L9:L11"/>
    <mergeCell ref="M9:P9"/>
    <mergeCell ref="Z9:Z11"/>
    <mergeCell ref="E9:E11"/>
    <mergeCell ref="F9:F11"/>
    <mergeCell ref="G9:G11"/>
    <mergeCell ref="H9:H11"/>
    <mergeCell ref="I9:I11"/>
    <mergeCell ref="U9:V10"/>
    <mergeCell ref="W9:X10"/>
    <mergeCell ref="Y9:Y11"/>
    <mergeCell ref="T9:T11"/>
    <mergeCell ref="S9:S11"/>
    <mergeCell ref="Q9:Q11"/>
    <mergeCell ref="R9:R11"/>
    <mergeCell ref="M10:O10"/>
    <mergeCell ref="P10:P11"/>
    <mergeCell ref="J9:J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D1"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4" customWidth="1"/>
    <col min="30" max="30" width="3" style="324" customWidth="1"/>
    <col min="31" max="16383" width="1" hidden="1"/>
    <col min="16384" max="16384" width="4.140625"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56" t="s">
        <v>138</v>
      </c>
      <c r="E9" s="445" t="s">
        <v>34</v>
      </c>
      <c r="F9" s="445"/>
      <c r="G9" s="456" t="s">
        <v>137</v>
      </c>
      <c r="H9" s="445" t="s">
        <v>1</v>
      </c>
      <c r="I9" s="436"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6" t="s">
        <v>1053</v>
      </c>
      <c r="AC9"/>
      <c r="AD9"/>
      <c r="AR9" s="7"/>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R10" s="7"/>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row>
    <row r="12" spans="4:48" ht="24"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t="24" hidden="1" customHeight="1">
      <c r="D13" s="221"/>
      <c r="E13" s="99"/>
      <c r="F13" s="90"/>
      <c r="G13" s="90"/>
      <c r="H13" s="16"/>
      <c r="I13" s="16"/>
      <c r="J13" s="16"/>
      <c r="K13" s="51"/>
      <c r="L13" s="51"/>
      <c r="M13" s="265" t="str">
        <f>+IFERROR(IF(COUNT(J13:L13),ROUND(SUM(J13:L13),0),""),"")</f>
        <v/>
      </c>
      <c r="N13" s="263" t="str">
        <f>+IFERROR(IF(COUNT(M13),ROUND(M13/'Shareholding Pattern'!$L$57*100,2),""),0)</f>
        <v/>
      </c>
      <c r="O13" s="307" t="str">
        <f>IF(J13="","",J13)</f>
        <v/>
      </c>
      <c r="P13" s="233"/>
      <c r="Q13" s="264" t="str">
        <f>+IFERROR(IF(COUNT(O13:P13),ROUND(SUM(O13,P13),2),""),"")</f>
        <v/>
      </c>
      <c r="R13" s="263" t="str">
        <f>+IFERROR(IF(COUNT(Q13),ROUND(Q13/('Shareholding Pattern'!$P$58)*100,2),""),0)</f>
        <v/>
      </c>
      <c r="S13" s="51"/>
      <c r="T13" s="51"/>
      <c r="U13" s="266" t="str">
        <f>+IFERROR(IF(COUNT(S13:T13),ROUND(SUM(S13:T13),0),""),"")</f>
        <v/>
      </c>
      <c r="V13" s="263" t="str">
        <f>+IFERROR(IF(COUNT(M13,U13),ROUND(SUM(U13,M13)/SUM('Shareholding Pattern'!$L$57,'Shareholding Pattern'!$T$57)*100,2),""),0)</f>
        <v/>
      </c>
      <c r="W13" s="51"/>
      <c r="X13" s="263" t="str">
        <f>+IFERROR(IF(COUNT(W13),ROUND(SUM(W13)/SUM(M13)*100,2),""),0)</f>
        <v/>
      </c>
      <c r="Y13" s="51"/>
      <c r="Z13" s="263" t="str">
        <f>+IFERROR(IF(COUNT(Y13),ROUND(SUM(Y13)/SUM(M13)*100,2),""),0)</f>
        <v/>
      </c>
      <c r="AA13" s="238"/>
      <c r="AB13" s="316"/>
      <c r="AC13" s="323">
        <f>IF(SUM(I13:AA13)&gt;0,1,0)</f>
        <v>0</v>
      </c>
      <c r="AD13" s="323" t="str">
        <f>IF(COUNT(H15:$Y$14999)=0,"",SUM(AC1:AC65533))</f>
        <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 ref="T9:T11"/>
    <mergeCell ref="U9:U11"/>
    <mergeCell ref="O10:Q10"/>
    <mergeCell ref="R10:R11"/>
    <mergeCell ref="S9:S11"/>
    <mergeCell ref="O9:R9"/>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1.85546875" hidden="1"/>
    <col min="16384" max="16384" width="7.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s="5" customFormat="1" ht="33" customHeight="1">
      <c r="E12" s="9" t="s">
        <v>83</v>
      </c>
      <c r="F12" s="309" t="s">
        <v>38</v>
      </c>
      <c r="G12" s="33"/>
      <c r="H12" s="33"/>
      <c r="I12" s="33"/>
      <c r="J12" s="33"/>
      <c r="K12" s="33"/>
      <c r="L12" s="33"/>
      <c r="M12" s="33"/>
      <c r="N12" s="33"/>
      <c r="O12" s="33"/>
      <c r="P12" s="33"/>
      <c r="Q12" s="33"/>
      <c r="R12" s="33"/>
      <c r="S12" s="33"/>
      <c r="T12" s="33"/>
      <c r="U12" s="33"/>
      <c r="V12" s="33"/>
      <c r="W12" s="33"/>
      <c r="X12" s="33"/>
      <c r="Y12" s="33"/>
      <c r="Z12" s="34"/>
    </row>
    <row r="13" spans="5:30" s="11" customFormat="1" ht="18.7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D23"/>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ht="21" customHeight="1">
      <c r="E12" s="9" t="s">
        <v>83</v>
      </c>
      <c r="F12" s="309" t="s">
        <v>39</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IF(SUM(H13:I13)&gt;0,1,0)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F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84</v>
      </c>
      <c r="F12" s="309"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L9:L11"/>
    <mergeCell ref="M9:P9"/>
    <mergeCell ref="Q9:Q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6"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85</v>
      </c>
      <c r="F12" s="309"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idden="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AV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4" customWidth="1"/>
    <col min="30" max="30" width="3.85546875" style="324" customWidth="1"/>
    <col min="31"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56" t="s">
        <v>138</v>
      </c>
      <c r="E9" s="445" t="s">
        <v>34</v>
      </c>
      <c r="F9" s="445"/>
      <c r="G9" s="456" t="s">
        <v>137</v>
      </c>
      <c r="H9" s="445" t="s">
        <v>1</v>
      </c>
      <c r="I9" s="436"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6" t="s">
        <v>1053</v>
      </c>
      <c r="AC9"/>
      <c r="AD9"/>
      <c r="AS9" s="75"/>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S10" s="75"/>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c r="AS11" s="75"/>
    </row>
    <row r="12" spans="4:48" ht="30"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t="0.75" hidden="1" customHeight="1">
      <c r="D13" s="221"/>
      <c r="E13" s="90"/>
      <c r="F13" s="90"/>
      <c r="G13" s="90"/>
      <c r="H13" s="10"/>
      <c r="I13" s="16"/>
      <c r="J13" s="16"/>
      <c r="K13" s="51"/>
      <c r="L13" s="51"/>
      <c r="M13" s="265" t="str">
        <f>+IFERROR(IF(COUNT(J13:L13),ROUND(SUM(J13:L13),0),""),"")</f>
        <v/>
      </c>
      <c r="N13" s="263" t="str">
        <f>+IFERROR(IF(COUNT(M13),ROUND(M13/'Shareholding Pattern'!$L$57*100,2),""),0)</f>
        <v/>
      </c>
      <c r="O13" s="307" t="str">
        <f>IF(J13="","",J13)</f>
        <v/>
      </c>
      <c r="P13" s="233"/>
      <c r="Q13" s="55" t="str">
        <f>+IFERROR(IF(COUNT(O13:P13),ROUND(SUM(O13,P13),0),""),"")</f>
        <v/>
      </c>
      <c r="R13" s="17" t="str">
        <f>+IFERROR(IF(COUNT(Q13),ROUND(Q13/('Shareholding Pattern'!$P$58)*100,2),""),0)</f>
        <v/>
      </c>
      <c r="S13" s="51"/>
      <c r="T13" s="51"/>
      <c r="U13" s="52" t="str">
        <f>+IFERROR(IF(COUNT(S13:T13),ROUND(SUM(S13:T13),0),""),"")</f>
        <v/>
      </c>
      <c r="V13" s="17" t="str">
        <f>+IFERROR(IF(COUNT(M13,U13),ROUND(SUM(U13,M13)/SUM('Shareholding Pattern'!$L$57,'Shareholding Pattern'!$T$57)*100,2),""),0)</f>
        <v/>
      </c>
      <c r="W13" s="51"/>
      <c r="X13" s="17" t="str">
        <f>+IFERROR(IF(W13="","",(IF(COUNT(W13,M13),ROUND(SUM(W13)/SUM(M13)*100,2),""))),0)</f>
        <v/>
      </c>
      <c r="Y13" s="51"/>
      <c r="Z13" s="17" t="str">
        <f>+IFERROR(IF(Y13="","",(IF(COUNT(Y13,M13),ROUND(SUM(Y13)/SUM(M13)*100,2),""))),0)</f>
        <v/>
      </c>
      <c r="AA13" s="16"/>
      <c r="AB13" s="314"/>
      <c r="AC13" s="323">
        <f>IF(SUM(I13:AA13),1,0)</f>
        <v>0</v>
      </c>
      <c r="AD13" s="323" t="str">
        <f>IF(COUNT(H15:$Y$15000)=0,"",SUM(AC1:AC65533))</f>
        <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s>
  <dataValidations count="7">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I13:L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36" t="s">
        <v>137</v>
      </c>
      <c r="G9" s="445" t="s">
        <v>1</v>
      </c>
      <c r="H9" s="436" t="s">
        <v>3</v>
      </c>
      <c r="I9" s="445" t="s">
        <v>4</v>
      </c>
      <c r="J9" s="445" t="s">
        <v>5</v>
      </c>
      <c r="K9" s="445" t="s">
        <v>6</v>
      </c>
      <c r="L9" s="445" t="s">
        <v>7</v>
      </c>
      <c r="M9" s="445" t="s">
        <v>8</v>
      </c>
      <c r="N9" s="445"/>
      <c r="O9" s="445"/>
      <c r="P9" s="445"/>
      <c r="Q9" s="456" t="s">
        <v>1064</v>
      </c>
      <c r="R9" s="445" t="s">
        <v>10</v>
      </c>
      <c r="S9" s="456" t="s">
        <v>135</v>
      </c>
      <c r="T9" s="445" t="s">
        <v>107</v>
      </c>
      <c r="U9" s="445" t="s">
        <v>12</v>
      </c>
      <c r="V9" s="445"/>
      <c r="W9" s="445" t="s">
        <v>14</v>
      </c>
      <c r="X9" s="436" t="s">
        <v>1053</v>
      </c>
      <c r="AR9" t="s">
        <v>938</v>
      </c>
    </row>
    <row r="10" spans="5:44" ht="31.5" customHeight="1">
      <c r="E10" s="457"/>
      <c r="F10" s="445"/>
      <c r="G10" s="445"/>
      <c r="H10" s="445"/>
      <c r="I10" s="445"/>
      <c r="J10" s="445"/>
      <c r="K10" s="445"/>
      <c r="L10" s="445"/>
      <c r="M10" s="445" t="s">
        <v>15</v>
      </c>
      <c r="N10" s="445"/>
      <c r="O10" s="445"/>
      <c r="P10" s="445" t="s">
        <v>16</v>
      </c>
      <c r="Q10" s="457"/>
      <c r="R10" s="445"/>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58"/>
      <c r="R11" s="445"/>
      <c r="S11" s="458"/>
      <c r="T11" s="445"/>
      <c r="U11" s="44" t="s">
        <v>20</v>
      </c>
      <c r="V11" s="44" t="s">
        <v>21</v>
      </c>
      <c r="W11" s="445"/>
      <c r="X11" s="445"/>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56" t="s">
        <v>138</v>
      </c>
      <c r="E9" s="456" t="s">
        <v>34</v>
      </c>
      <c r="F9" s="456" t="s">
        <v>976</v>
      </c>
      <c r="G9" s="437" t="s">
        <v>137</v>
      </c>
      <c r="H9" s="445" t="s">
        <v>1</v>
      </c>
      <c r="I9" s="437" t="s">
        <v>961</v>
      </c>
      <c r="J9" s="445" t="s">
        <v>3</v>
      </c>
      <c r="K9" s="445" t="s">
        <v>4</v>
      </c>
      <c r="L9" s="445" t="s">
        <v>5</v>
      </c>
      <c r="M9" s="445" t="s">
        <v>6</v>
      </c>
      <c r="N9" s="445" t="s">
        <v>7</v>
      </c>
      <c r="O9" s="445" t="s">
        <v>8</v>
      </c>
      <c r="P9" s="445"/>
      <c r="Q9" s="445"/>
      <c r="R9" s="445"/>
      <c r="S9" s="445" t="s">
        <v>9</v>
      </c>
      <c r="T9" s="456" t="s">
        <v>1064</v>
      </c>
      <c r="U9" s="456" t="s">
        <v>139</v>
      </c>
      <c r="V9" s="445" t="s">
        <v>107</v>
      </c>
      <c r="W9" s="445" t="s">
        <v>12</v>
      </c>
      <c r="X9" s="445"/>
      <c r="Y9" s="445" t="s">
        <v>14</v>
      </c>
      <c r="Z9" s="436" t="s">
        <v>1053</v>
      </c>
      <c r="AG9" s="75" t="s">
        <v>940</v>
      </c>
      <c r="AV9" t="s">
        <v>34</v>
      </c>
    </row>
    <row r="10" spans="4:48" ht="31.5" customHeight="1">
      <c r="D10" s="457"/>
      <c r="E10" s="457"/>
      <c r="F10" s="457"/>
      <c r="G10" s="438"/>
      <c r="H10" s="445"/>
      <c r="I10" s="457"/>
      <c r="J10" s="445"/>
      <c r="K10" s="445"/>
      <c r="L10" s="445"/>
      <c r="M10" s="445"/>
      <c r="N10" s="445"/>
      <c r="O10" s="445" t="s">
        <v>15</v>
      </c>
      <c r="P10" s="445"/>
      <c r="Q10" s="445"/>
      <c r="R10" s="445" t="s">
        <v>16</v>
      </c>
      <c r="S10" s="445"/>
      <c r="T10" s="457"/>
      <c r="U10" s="454"/>
      <c r="V10" s="445"/>
      <c r="W10" s="445"/>
      <c r="X10" s="445"/>
      <c r="Y10" s="445"/>
      <c r="Z10" s="445"/>
      <c r="AG10" s="75" t="s">
        <v>931</v>
      </c>
      <c r="AV10" t="s">
        <v>979</v>
      </c>
    </row>
    <row r="11" spans="4:48" ht="75">
      <c r="D11" s="458"/>
      <c r="E11" s="458"/>
      <c r="F11" s="458"/>
      <c r="G11" s="439"/>
      <c r="H11" s="445"/>
      <c r="I11" s="458"/>
      <c r="J11" s="445"/>
      <c r="K11" s="445"/>
      <c r="L11" s="445"/>
      <c r="M11" s="445"/>
      <c r="N11" s="445"/>
      <c r="O11" s="44" t="s">
        <v>17</v>
      </c>
      <c r="P11" s="44" t="s">
        <v>18</v>
      </c>
      <c r="Q11" s="44" t="s">
        <v>19</v>
      </c>
      <c r="R11" s="445"/>
      <c r="S11" s="445"/>
      <c r="T11" s="458"/>
      <c r="U11" s="455"/>
      <c r="V11" s="445"/>
      <c r="W11" s="44" t="s">
        <v>20</v>
      </c>
      <c r="X11" s="44" t="s">
        <v>21</v>
      </c>
      <c r="Y11" s="445"/>
      <c r="Z11" s="445"/>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4"/>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S13:T13 J13:L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E9:E11"/>
    <mergeCell ref="U9:V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5"/>
  <sheetViews>
    <sheetView showGridLines="0" topLeftCell="A14" zoomScale="90" zoomScaleNormal="90" workbookViewId="0">
      <selection activeCell="F25" sqref="F2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9</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SUM(AC24:AC65544)</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1" t="s">
        <v>1085</v>
      </c>
      <c r="G15" s="370" t="s">
        <v>1086</v>
      </c>
      <c r="H15" s="51">
        <v>485471</v>
      </c>
      <c r="I15" s="51"/>
      <c r="J15" s="51"/>
      <c r="K15" s="368">
        <f t="shared" ref="K15:K23" si="0">+IFERROR(IF(COUNT(H15:J15),ROUND(SUM(H15:J15),0),""),"")</f>
        <v>485471</v>
      </c>
      <c r="L15" s="55">
        <f>+IFERROR(IF(COUNT(K15),ROUND(K15/'Shareholding Pattern'!$L$57*100,2),""),"")</f>
        <v>4.46</v>
      </c>
      <c r="M15" s="233">
        <f t="shared" ref="M15:M23" si="1">IF(H15="","",H15)</f>
        <v>485471</v>
      </c>
      <c r="N15" s="233"/>
      <c r="O15" s="318">
        <f t="shared" ref="O15:O23" si="2">+IFERROR(IF(COUNT(M15:N15),ROUND(SUM(M15,N15),2),""),"")</f>
        <v>485471</v>
      </c>
      <c r="P15" s="55">
        <f>+IFERROR(IF(COUNT(O15),ROUND(O15/('Shareholding Pattern'!$P$58)*100,2),""),"")</f>
        <v>4.46</v>
      </c>
      <c r="Q15" s="51"/>
      <c r="R15" s="51"/>
      <c r="S15" s="368" t="str">
        <f t="shared" ref="S15:S23" si="3">+IFERROR(IF(COUNT(Q15:R15),ROUND(SUM(Q15:R15),0),""),"")</f>
        <v/>
      </c>
      <c r="T15" s="17">
        <f>+IFERROR(IF(COUNT(K15,S15),ROUND(SUM(S15,K15)/SUM('Shareholding Pattern'!$L$57,'Shareholding Pattern'!$T$57)*100,2),""),"")</f>
        <v>4.46</v>
      </c>
      <c r="U15" s="51"/>
      <c r="V15" s="318" t="str">
        <f t="shared" ref="V15:V23" si="4">+IFERROR(IF(COUNT(U15),ROUND(SUM(U15)/SUM(K15)*100,2),""),0)</f>
        <v/>
      </c>
      <c r="W15" s="51">
        <v>485471</v>
      </c>
      <c r="X15" s="316"/>
      <c r="Y15" s="11"/>
      <c r="Z15" s="11"/>
      <c r="AA15" s="11"/>
      <c r="AB15" s="11"/>
      <c r="AC15" s="11">
        <f t="shared" ref="AC15:AC23" si="5">IF(SUM(H15:W15)&gt;0,1,0)</f>
        <v>1</v>
      </c>
    </row>
    <row r="16" spans="5:30" ht="24.95" customHeight="1">
      <c r="E16" s="221">
        <v>2</v>
      </c>
      <c r="F16" s="371" t="s">
        <v>1087</v>
      </c>
      <c r="G16" s="370" t="s">
        <v>1088</v>
      </c>
      <c r="H16" s="51">
        <v>263700</v>
      </c>
      <c r="I16" s="51"/>
      <c r="J16" s="51"/>
      <c r="K16" s="368">
        <f t="shared" si="0"/>
        <v>263700</v>
      </c>
      <c r="L16" s="55">
        <f>+IFERROR(IF(COUNT(K16),ROUND(K16/'Shareholding Pattern'!$L$57*100,2),""),"")</f>
        <v>2.42</v>
      </c>
      <c r="M16" s="233">
        <f t="shared" si="1"/>
        <v>263700</v>
      </c>
      <c r="N16" s="233"/>
      <c r="O16" s="318">
        <f t="shared" si="2"/>
        <v>263700</v>
      </c>
      <c r="P16" s="55">
        <f>+IFERROR(IF(COUNT(O16),ROUND(O16/('Shareholding Pattern'!$P$58)*100,2),""),"")</f>
        <v>2.42</v>
      </c>
      <c r="Q16" s="51"/>
      <c r="R16" s="51"/>
      <c r="S16" s="368" t="str">
        <f t="shared" si="3"/>
        <v/>
      </c>
      <c r="T16" s="17">
        <f>+IFERROR(IF(COUNT(K16,S16),ROUND(SUM(S16,K16)/SUM('Shareholding Pattern'!$L$57,'Shareholding Pattern'!$T$57)*100,2),""),"")</f>
        <v>2.42</v>
      </c>
      <c r="U16" s="51"/>
      <c r="V16" s="318" t="str">
        <f t="shared" si="4"/>
        <v/>
      </c>
      <c r="W16" s="51">
        <v>263700</v>
      </c>
      <c r="X16" s="316"/>
      <c r="Y16" s="11"/>
      <c r="Z16" s="11"/>
      <c r="AA16" s="11"/>
      <c r="AB16" s="11"/>
      <c r="AC16" s="11">
        <f t="shared" si="5"/>
        <v>1</v>
      </c>
    </row>
    <row r="17" spans="5:29" ht="24.95" customHeight="1">
      <c r="E17" s="221">
        <v>3</v>
      </c>
      <c r="F17" s="371" t="s">
        <v>1089</v>
      </c>
      <c r="G17" s="370" t="s">
        <v>1090</v>
      </c>
      <c r="H17" s="51">
        <v>243348</v>
      </c>
      <c r="I17" s="51"/>
      <c r="J17" s="51"/>
      <c r="K17" s="368">
        <f t="shared" si="0"/>
        <v>243348</v>
      </c>
      <c r="L17" s="55">
        <f>+IFERROR(IF(COUNT(K17),ROUND(K17/'Shareholding Pattern'!$L$57*100,2),""),"")</f>
        <v>2.2400000000000002</v>
      </c>
      <c r="M17" s="233">
        <f t="shared" si="1"/>
        <v>243348</v>
      </c>
      <c r="N17" s="233"/>
      <c r="O17" s="318">
        <f t="shared" si="2"/>
        <v>243348</v>
      </c>
      <c r="P17" s="55">
        <f>+IFERROR(IF(COUNT(O17),ROUND(O17/('Shareholding Pattern'!$P$58)*100,2),""),"")</f>
        <v>2.2400000000000002</v>
      </c>
      <c r="Q17" s="51"/>
      <c r="R17" s="51"/>
      <c r="S17" s="368" t="str">
        <f t="shared" si="3"/>
        <v/>
      </c>
      <c r="T17" s="17">
        <f>+IFERROR(IF(COUNT(K17,S17),ROUND(SUM(S17,K17)/SUM('Shareholding Pattern'!$L$57,'Shareholding Pattern'!$T$57)*100,2),""),"")</f>
        <v>2.2400000000000002</v>
      </c>
      <c r="U17" s="51"/>
      <c r="V17" s="318" t="str">
        <f t="shared" si="4"/>
        <v/>
      </c>
      <c r="W17" s="51">
        <v>243348</v>
      </c>
      <c r="X17" s="316"/>
      <c r="Y17" s="11"/>
      <c r="Z17" s="11"/>
      <c r="AA17" s="11"/>
      <c r="AB17" s="11"/>
      <c r="AC17" s="11">
        <f t="shared" si="5"/>
        <v>1</v>
      </c>
    </row>
    <row r="18" spans="5:29" ht="24.95" customHeight="1">
      <c r="E18" s="221">
        <v>4</v>
      </c>
      <c r="F18" s="371" t="s">
        <v>1091</v>
      </c>
      <c r="G18" s="370" t="s">
        <v>1092</v>
      </c>
      <c r="H18" s="51">
        <v>153994</v>
      </c>
      <c r="I18" s="51"/>
      <c r="J18" s="51"/>
      <c r="K18" s="368">
        <f t="shared" si="0"/>
        <v>153994</v>
      </c>
      <c r="L18" s="55">
        <f>+IFERROR(IF(COUNT(K18),ROUND(K18/'Shareholding Pattern'!$L$57*100,2),""),"")</f>
        <v>1.42</v>
      </c>
      <c r="M18" s="233">
        <f t="shared" si="1"/>
        <v>153994</v>
      </c>
      <c r="N18" s="233"/>
      <c r="O18" s="318">
        <f t="shared" si="2"/>
        <v>153994</v>
      </c>
      <c r="P18" s="55">
        <f>+IFERROR(IF(COUNT(O18),ROUND(O18/('Shareholding Pattern'!$P$58)*100,2),""),"")</f>
        <v>1.42</v>
      </c>
      <c r="Q18" s="51"/>
      <c r="R18" s="51"/>
      <c r="S18" s="368" t="str">
        <f t="shared" si="3"/>
        <v/>
      </c>
      <c r="T18" s="17">
        <f>+IFERROR(IF(COUNT(K18,S18),ROUND(SUM(S18,K18)/SUM('Shareholding Pattern'!$L$57,'Shareholding Pattern'!$T$57)*100,2),""),"")</f>
        <v>1.42</v>
      </c>
      <c r="U18" s="51"/>
      <c r="V18" s="318" t="str">
        <f t="shared" si="4"/>
        <v/>
      </c>
      <c r="W18" s="51">
        <v>153994</v>
      </c>
      <c r="X18" s="316"/>
      <c r="Y18" s="11"/>
      <c r="Z18" s="11"/>
      <c r="AA18" s="11"/>
      <c r="AB18" s="11"/>
      <c r="AC18" s="11">
        <f t="shared" si="5"/>
        <v>1</v>
      </c>
    </row>
    <row r="19" spans="5:29" ht="24.95" customHeight="1">
      <c r="E19" s="221">
        <v>5</v>
      </c>
      <c r="F19" s="371" t="s">
        <v>1093</v>
      </c>
      <c r="G19" s="370" t="s">
        <v>1094</v>
      </c>
      <c r="H19" s="51">
        <v>145425</v>
      </c>
      <c r="I19" s="51"/>
      <c r="J19" s="51"/>
      <c r="K19" s="368">
        <f t="shared" si="0"/>
        <v>145425</v>
      </c>
      <c r="L19" s="55">
        <f>+IFERROR(IF(COUNT(K19),ROUND(K19/'Shareholding Pattern'!$L$57*100,2),""),"")</f>
        <v>1.34</v>
      </c>
      <c r="M19" s="233">
        <f t="shared" si="1"/>
        <v>145425</v>
      </c>
      <c r="N19" s="233"/>
      <c r="O19" s="318">
        <f t="shared" si="2"/>
        <v>145425</v>
      </c>
      <c r="P19" s="55">
        <f>+IFERROR(IF(COUNT(O19),ROUND(O19/('Shareholding Pattern'!$P$58)*100,2),""),"")</f>
        <v>1.34</v>
      </c>
      <c r="Q19" s="51"/>
      <c r="R19" s="51"/>
      <c r="S19" s="368" t="str">
        <f t="shared" si="3"/>
        <v/>
      </c>
      <c r="T19" s="17">
        <f>+IFERROR(IF(COUNT(K19,S19),ROUND(SUM(S19,K19)/SUM('Shareholding Pattern'!$L$57,'Shareholding Pattern'!$T$57)*100,2),""),"")</f>
        <v>1.34</v>
      </c>
      <c r="U19" s="51"/>
      <c r="V19" s="318" t="str">
        <f t="shared" si="4"/>
        <v/>
      </c>
      <c r="W19" s="51">
        <v>145425</v>
      </c>
      <c r="X19" s="316"/>
      <c r="Y19" s="11"/>
      <c r="Z19" s="11"/>
      <c r="AA19" s="11"/>
      <c r="AB19" s="11"/>
      <c r="AC19" s="11">
        <f t="shared" si="5"/>
        <v>1</v>
      </c>
    </row>
    <row r="20" spans="5:29" ht="24.95" customHeight="1">
      <c r="E20" s="221">
        <v>6</v>
      </c>
      <c r="F20" s="371" t="s">
        <v>1095</v>
      </c>
      <c r="G20" s="370" t="s">
        <v>1096</v>
      </c>
      <c r="H20" s="51">
        <v>143000</v>
      </c>
      <c r="I20" s="51"/>
      <c r="J20" s="51"/>
      <c r="K20" s="368">
        <f t="shared" si="0"/>
        <v>143000</v>
      </c>
      <c r="L20" s="55">
        <f>+IFERROR(IF(COUNT(K20),ROUND(K20/'Shareholding Pattern'!$L$57*100,2),""),"")</f>
        <v>1.31</v>
      </c>
      <c r="M20" s="233">
        <f t="shared" si="1"/>
        <v>143000</v>
      </c>
      <c r="N20" s="233"/>
      <c r="O20" s="318">
        <f t="shared" si="2"/>
        <v>143000</v>
      </c>
      <c r="P20" s="55">
        <f>+IFERROR(IF(COUNT(O20),ROUND(O20/('Shareholding Pattern'!$P$58)*100,2),""),"")</f>
        <v>1.31</v>
      </c>
      <c r="Q20" s="51"/>
      <c r="R20" s="51"/>
      <c r="S20" s="368" t="str">
        <f t="shared" si="3"/>
        <v/>
      </c>
      <c r="T20" s="17">
        <f>+IFERROR(IF(COUNT(K20,S20),ROUND(SUM(S20,K20)/SUM('Shareholding Pattern'!$L$57,'Shareholding Pattern'!$T$57)*100,2),""),"")</f>
        <v>1.31</v>
      </c>
      <c r="U20" s="51"/>
      <c r="V20" s="318" t="str">
        <f t="shared" si="4"/>
        <v/>
      </c>
      <c r="W20" s="51">
        <v>143000</v>
      </c>
      <c r="X20" s="316"/>
      <c r="Y20" s="11"/>
      <c r="Z20" s="11"/>
      <c r="AA20" s="11"/>
      <c r="AB20" s="11"/>
      <c r="AC20" s="11">
        <f t="shared" si="5"/>
        <v>1</v>
      </c>
    </row>
    <row r="21" spans="5:29" ht="24.95" customHeight="1">
      <c r="E21" s="221">
        <v>7</v>
      </c>
      <c r="F21" s="371" t="s">
        <v>1097</v>
      </c>
      <c r="G21" s="370" t="s">
        <v>1098</v>
      </c>
      <c r="H21" s="51">
        <v>131000</v>
      </c>
      <c r="I21" s="51"/>
      <c r="J21" s="51"/>
      <c r="K21" s="368">
        <f t="shared" si="0"/>
        <v>131000</v>
      </c>
      <c r="L21" s="55">
        <f>+IFERROR(IF(COUNT(K21),ROUND(K21/'Shareholding Pattern'!$L$57*100,2),""),"")</f>
        <v>1.2</v>
      </c>
      <c r="M21" s="233">
        <f t="shared" si="1"/>
        <v>131000</v>
      </c>
      <c r="N21" s="233"/>
      <c r="O21" s="318">
        <f t="shared" si="2"/>
        <v>131000</v>
      </c>
      <c r="P21" s="55">
        <f>+IFERROR(IF(COUNT(O21),ROUND(O21/('Shareholding Pattern'!$P$58)*100,2),""),"")</f>
        <v>1.2</v>
      </c>
      <c r="Q21" s="51"/>
      <c r="R21" s="51"/>
      <c r="S21" s="368" t="str">
        <f t="shared" si="3"/>
        <v/>
      </c>
      <c r="T21" s="17">
        <f>+IFERROR(IF(COUNT(K21,S21),ROUND(SUM(S21,K21)/SUM('Shareholding Pattern'!$L$57,'Shareholding Pattern'!$T$57)*100,2),""),"")</f>
        <v>1.2</v>
      </c>
      <c r="U21" s="51"/>
      <c r="V21" s="318" t="str">
        <f t="shared" si="4"/>
        <v/>
      </c>
      <c r="W21" s="51">
        <v>131000</v>
      </c>
      <c r="X21" s="316"/>
      <c r="Y21" s="11"/>
      <c r="Z21" s="11"/>
      <c r="AA21" s="11"/>
      <c r="AB21" s="11"/>
      <c r="AC21" s="11">
        <f t="shared" si="5"/>
        <v>1</v>
      </c>
    </row>
    <row r="22" spans="5:29" ht="24.95" customHeight="1">
      <c r="E22" s="221">
        <v>8</v>
      </c>
      <c r="F22" s="371" t="s">
        <v>1099</v>
      </c>
      <c r="G22" s="370" t="s">
        <v>1100</v>
      </c>
      <c r="H22" s="51">
        <v>115001</v>
      </c>
      <c r="I22" s="51"/>
      <c r="J22" s="51"/>
      <c r="K22" s="368">
        <f t="shared" si="0"/>
        <v>115001</v>
      </c>
      <c r="L22" s="55">
        <f>+IFERROR(IF(COUNT(K22),ROUND(K22/'Shareholding Pattern'!$L$57*100,2),""),"")</f>
        <v>1.06</v>
      </c>
      <c r="M22" s="233">
        <f t="shared" si="1"/>
        <v>115001</v>
      </c>
      <c r="N22" s="233"/>
      <c r="O22" s="318">
        <f t="shared" si="2"/>
        <v>115001</v>
      </c>
      <c r="P22" s="55">
        <f>+IFERROR(IF(COUNT(O22),ROUND(O22/('Shareholding Pattern'!$P$58)*100,2),""),"")</f>
        <v>1.06</v>
      </c>
      <c r="Q22" s="51"/>
      <c r="R22" s="51"/>
      <c r="S22" s="368" t="str">
        <f t="shared" si="3"/>
        <v/>
      </c>
      <c r="T22" s="17">
        <f>+IFERROR(IF(COUNT(K22,S22),ROUND(SUM(S22,K22)/SUM('Shareholding Pattern'!$L$57,'Shareholding Pattern'!$T$57)*100,2),""),"")</f>
        <v>1.06</v>
      </c>
      <c r="U22" s="51"/>
      <c r="V22" s="318" t="str">
        <f t="shared" si="4"/>
        <v/>
      </c>
      <c r="W22" s="51">
        <v>115001</v>
      </c>
      <c r="X22" s="316"/>
      <c r="Y22" s="11"/>
      <c r="Z22" s="11"/>
      <c r="AA22" s="11"/>
      <c r="AB22" s="11"/>
      <c r="AC22" s="11">
        <f t="shared" si="5"/>
        <v>1</v>
      </c>
    </row>
    <row r="23" spans="5:29" ht="24.95" customHeight="1">
      <c r="E23" s="221">
        <v>9</v>
      </c>
      <c r="F23" s="371" t="s">
        <v>1101</v>
      </c>
      <c r="G23" s="370" t="s">
        <v>1102</v>
      </c>
      <c r="H23" s="51">
        <v>110206</v>
      </c>
      <c r="I23" s="51"/>
      <c r="J23" s="51"/>
      <c r="K23" s="368">
        <f t="shared" si="0"/>
        <v>110206</v>
      </c>
      <c r="L23" s="55">
        <f>+IFERROR(IF(COUNT(K23),ROUND(K23/'Shareholding Pattern'!$L$57*100,2),""),"")</f>
        <v>1.01</v>
      </c>
      <c r="M23" s="233">
        <f t="shared" si="1"/>
        <v>110206</v>
      </c>
      <c r="N23" s="233"/>
      <c r="O23" s="318">
        <f t="shared" si="2"/>
        <v>110206</v>
      </c>
      <c r="P23" s="55">
        <f>+IFERROR(IF(COUNT(O23),ROUND(O23/('Shareholding Pattern'!$P$58)*100,2),""),"")</f>
        <v>1.01</v>
      </c>
      <c r="Q23" s="51"/>
      <c r="R23" s="51"/>
      <c r="S23" s="368" t="str">
        <f t="shared" si="3"/>
        <v/>
      </c>
      <c r="T23" s="17">
        <f>+IFERROR(IF(COUNT(K23,S23),ROUND(SUM(S23,K23)/SUM('Shareholding Pattern'!$L$57,'Shareholding Pattern'!$T$57)*100,2),""),"")</f>
        <v>1.01</v>
      </c>
      <c r="U23" s="51"/>
      <c r="V23" s="318" t="str">
        <f t="shared" si="4"/>
        <v/>
      </c>
      <c r="W23" s="51">
        <v>110206</v>
      </c>
      <c r="X23" s="316"/>
      <c r="Y23" s="11"/>
      <c r="Z23" s="11"/>
      <c r="AA23" s="11"/>
      <c r="AB23" s="11"/>
      <c r="AC23" s="11">
        <f t="shared" si="5"/>
        <v>1</v>
      </c>
    </row>
    <row r="24" spans="5:29" ht="24.95" hidden="1" customHeight="1">
      <c r="E24" s="12"/>
      <c r="F24" s="13"/>
      <c r="G24" s="13"/>
      <c r="H24" s="13"/>
      <c r="I24" s="13"/>
      <c r="J24" s="13"/>
      <c r="K24" s="13"/>
      <c r="L24" s="13"/>
      <c r="M24" s="13"/>
      <c r="N24" s="13"/>
      <c r="O24" s="13"/>
      <c r="P24" s="13"/>
      <c r="Q24" s="13"/>
      <c r="R24" s="13"/>
      <c r="S24" s="13"/>
      <c r="T24" s="13"/>
      <c r="U24" s="13"/>
      <c r="V24" s="13"/>
      <c r="W24" s="224"/>
    </row>
    <row r="25" spans="5:29" ht="20.100000000000001" customHeight="1">
      <c r="E25" s="40"/>
      <c r="F25" s="96" t="s">
        <v>1002</v>
      </c>
      <c r="G25" s="83" t="s">
        <v>19</v>
      </c>
      <c r="H25" s="57">
        <f>+IFERROR(IF(COUNT(H14:H24),ROUND(SUM(H14:H24),0),""),"")</f>
        <v>1791145</v>
      </c>
      <c r="I25" s="57" t="str">
        <f>+IFERROR(IF(COUNT(I14:I24),ROUND(SUM(I14:I24),0),""),"")</f>
        <v/>
      </c>
      <c r="J25" s="57" t="str">
        <f>+IFERROR(IF(COUNT(J14:J24),ROUND(SUM(J14:J24),0),""),"")</f>
        <v/>
      </c>
      <c r="K25" s="57">
        <f>+IFERROR(IF(COUNT(K14:K24),ROUND(SUM(K14:K24),0),""),"")</f>
        <v>1791145</v>
      </c>
      <c r="L25" s="17">
        <f>+IFERROR(IF(COUNT(K25),ROUND(K25/'Shareholding Pattern'!$L$57*100,2),""),"")</f>
        <v>16.46</v>
      </c>
      <c r="M25" s="38">
        <f>+IFERROR(IF(COUNT(M14:M24),ROUND(SUM(M14:M24),0),""),"")</f>
        <v>1791145</v>
      </c>
      <c r="N25" s="38" t="str">
        <f>+IFERROR(IF(COUNT(N14:N24),ROUND(SUM(N14:N24),0),""),"")</f>
        <v/>
      </c>
      <c r="O25" s="38">
        <f>+IFERROR(IF(COUNT(O14:O24),ROUND(SUM(O14:O24),0),""),"")</f>
        <v>1791145</v>
      </c>
      <c r="P25" s="17">
        <f>+IFERROR(IF(COUNT(O25),ROUND(O25/('Shareholding Pattern'!$P$58)*100,2),""),"")</f>
        <v>16.46</v>
      </c>
      <c r="Q25" s="57" t="str">
        <f>+IFERROR(IF(COUNT(Q14:Q24),ROUND(SUM(Q14:Q24),0),""),"")</f>
        <v/>
      </c>
      <c r="R25" s="57" t="str">
        <f>+IFERROR(IF(COUNT(R14:R24),ROUND(SUM(R14:R24),0),""),"")</f>
        <v/>
      </c>
      <c r="S25" s="57" t="str">
        <f>+IFERROR(IF(COUNT(S14:S24),ROUND(SUM(S14:S24),0),""),"")</f>
        <v/>
      </c>
      <c r="T25" s="17">
        <f>+IFERROR(IF(COUNT(K25,S25),ROUND(SUM(S25,K25)/SUM('Shareholding Pattern'!$L$57,'Shareholding Pattern'!$T$57)*100,2),""),"")</f>
        <v>16.46</v>
      </c>
      <c r="U25" s="57" t="str">
        <f>+IFERROR(IF(COUNT(U14:U24),ROUND(SUM(U14:U24),0),""),"")</f>
        <v/>
      </c>
      <c r="V25" s="17" t="str">
        <f>+IFERROR(IF(COUNT(U25),ROUND(SUM(U25)/SUM(K25)*100,2),""),0)</f>
        <v/>
      </c>
      <c r="W25" s="57">
        <f>+IFERROR(IF(COUNT(W14:W24),ROUND(SUM(W14:W24),0),""),"")</f>
        <v>1791145</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23">
      <formula1>H13</formula1>
    </dataValidation>
    <dataValidation type="whole" operator="lessThanOrEqual" allowBlank="1" showInputMessage="1" showErrorMessage="1" sqref="W13 W15:W23">
      <formula1>K13</formula1>
    </dataValidation>
    <dataValidation type="textLength" operator="equal" allowBlank="1" showInputMessage="1" showErrorMessage="1" prompt="[A-Z][A-Z][A-Z][A-Z][A-Z][0-9][0-9][0-9][0-9][A-Z]&#10;&#10;In absence of PAN write : ZZZZZ9999Z" sqref="G13 G15:G23">
      <formula1>10</formula1>
    </dataValidation>
    <dataValidation type="whole" operator="greaterThanOrEqual" allowBlank="1" showInputMessage="1" showErrorMessage="1" sqref="Q13:R13 H13:J13 M13:N13 M15:N23 Q15:R23 H15:J23">
      <formula1>0</formula1>
    </dataValidation>
  </dataValidations>
  <hyperlinks>
    <hyperlink ref="G25" location="'Shareholding Pattern'!F44" display="Total"/>
    <hyperlink ref="F25"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BA25"/>
  <sheetViews>
    <sheetView showGridLines="0" topLeftCell="G1" zoomScale="80" zoomScaleNormal="80" workbookViewId="0">
      <selection activeCell="G22" sqref="G22"/>
    </sheetView>
  </sheetViews>
  <sheetFormatPr defaultColWidth="0" defaultRowHeight="15"/>
  <cols>
    <col min="1" max="1" width="2.28515625" customWidth="1"/>
    <col min="2" max="2" width="2.140625" hidden="1" customWidth="1"/>
    <col min="3" max="3" width="2" hidden="1" customWidth="1"/>
    <col min="4" max="4" width="7.140625" customWidth="1"/>
    <col min="5" max="5" width="40.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16384" width="7.85546875" hidden="1"/>
  </cols>
  <sheetData>
    <row r="1" spans="4:53" ht="0.75" customHeight="1">
      <c r="I1">
        <v>6</v>
      </c>
      <c r="J1">
        <v>0</v>
      </c>
      <c r="AE1" t="s">
        <v>1065</v>
      </c>
      <c r="AF1" t="s">
        <v>1066</v>
      </c>
      <c r="AG1" t="s">
        <v>1067</v>
      </c>
      <c r="AH1" t="s">
        <v>937</v>
      </c>
      <c r="AI1" t="s">
        <v>1068</v>
      </c>
      <c r="AJ1" t="s">
        <v>1069</v>
      </c>
      <c r="AK1" t="s">
        <v>927</v>
      </c>
      <c r="AL1" t="s">
        <v>1003</v>
      </c>
      <c r="AM1" t="s">
        <v>938</v>
      </c>
      <c r="AN1" t="s">
        <v>928</v>
      </c>
      <c r="AO1" t="s">
        <v>939</v>
      </c>
      <c r="AP1" t="s">
        <v>940</v>
      </c>
      <c r="AQ1" t="s">
        <v>942</v>
      </c>
      <c r="AR1" t="s">
        <v>929</v>
      </c>
      <c r="AS1" t="s">
        <v>930</v>
      </c>
      <c r="AT1" t="s">
        <v>931</v>
      </c>
      <c r="AU1" t="s">
        <v>936</v>
      </c>
      <c r="AV1" t="s">
        <v>992</v>
      </c>
      <c r="AW1" t="s">
        <v>941</v>
      </c>
      <c r="AX1" t="s">
        <v>1004</v>
      </c>
      <c r="AY1" t="s">
        <v>993</v>
      </c>
      <c r="AZ1" t="s">
        <v>1052</v>
      </c>
      <c r="BA1" t="s">
        <v>935</v>
      </c>
    </row>
    <row r="2" spans="4:53" ht="29.25" hidden="1" customHeight="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3" ht="25.5" hidden="1" customHeight="1">
      <c r="I3">
        <f ca="1">+IFERROR(IF(COUNT(I13:I21),ROUND(SUMIF($F$13:I21,"Category",I13:I21),0),""),"")</f>
        <v>136</v>
      </c>
      <c r="J3">
        <f ca="1">+IFERROR(IF(COUNT(J13:J21),ROUND(SUMIF($F$13:J21,"Category",J13:J21),0),""),"")</f>
        <v>1318648</v>
      </c>
      <c r="K3" t="str">
        <f>+IFERROR(IF(COUNT(K13:K21),ROUND(SUMIF($F$13:K21,"Category",K13:K21),0),""),"")</f>
        <v/>
      </c>
      <c r="L3" t="str">
        <f>+IFERROR(IF(COUNT(L13:L21),ROUND(SUMIF($F$13:L21,"Category",L13:L21),0),""),"")</f>
        <v/>
      </c>
      <c r="M3">
        <f ca="1">+IFERROR(IF(COUNT(M13:M21),ROUND(SUMIF($F$13:M21,"Category",M13:M21),0),""),"")</f>
        <v>1318648</v>
      </c>
      <c r="N3">
        <f ca="1">+IFERROR(IF(COUNT(N13:N21),ROUND(SUMIF($F$13:N21,"Category",N13:N21),2),""),"")</f>
        <v>12.12</v>
      </c>
      <c r="O3">
        <f ca="1">+IFERROR(IF(COUNT(O13:O21),ROUND(SUMIF($F$13:O21,"Category",O13:O21),0),""),"")</f>
        <v>1318648</v>
      </c>
      <c r="P3" t="str">
        <f>+IFERROR(IF(COUNT(P13:P21),ROUND(SUMIF($F$13:P21,"Category",P13:P21),0),""),"")</f>
        <v/>
      </c>
      <c r="Q3">
        <f ca="1">+IFERROR(IF(COUNT(Q13:Q21),ROUND(SUMIF($F$13:Q21,"Category",Q13:Q21),0),""),"")</f>
        <v>1318648</v>
      </c>
      <c r="R3">
        <f ca="1">+IFERROR(IF(COUNT(R13:R21),ROUND(SUMIF($F$13:R21,"Category",R13:R21),2),""),"")</f>
        <v>12.12</v>
      </c>
      <c r="S3" t="str">
        <f>+IFERROR(IF(COUNT(S13:S21),ROUND(SUMIF($F$13:S21,"Category",S13:S21),0),""),"")</f>
        <v/>
      </c>
      <c r="T3" t="str">
        <f>+IFERROR(IF(COUNT(T13:T21),ROUND(SUMIF($F$13:T21,"Category",T13:T21),0),""),"")</f>
        <v/>
      </c>
      <c r="U3" t="str">
        <f>+IFERROR(IF(COUNT(U13:U21),ROUND(SUMIF($F$13:U21,"Category",U13:U21),0),""),"")</f>
        <v/>
      </c>
      <c r="V3">
        <f ca="1">+IFERROR(IF(COUNT(V13:V21),ROUND(SUMIF($F$13:V21,"Category",V13:V21),2),""),"")</f>
        <v>12.12</v>
      </c>
      <c r="W3" t="str">
        <f>+IFERROR(IF(COUNT(W13:W21),ROUND(SUMIF($F$13:W21,"Category",W13:W21),0),""),"")</f>
        <v/>
      </c>
      <c r="X3" t="str">
        <f>+IFERROR(IF(COUNT(X13:X21),ROUND(SUMIF($F$13:X21,"Category",X13:X21),2),""),"")</f>
        <v/>
      </c>
      <c r="Y3">
        <f ca="1">+IFERROR(IF(COUNT(Y13:Y21),ROUND(SUMIF($F$13:Y21,"Category",Y13:Y21),0),""),"")</f>
        <v>344683</v>
      </c>
    </row>
    <row r="4" spans="4:53" ht="30" hidden="1" customHeight="1"/>
    <row r="5" spans="4:53" ht="28.5" hidden="1" customHeight="1"/>
    <row r="9" spans="4:53" ht="29.25" customHeight="1">
      <c r="D9" s="456" t="s">
        <v>138</v>
      </c>
      <c r="E9" s="456" t="s">
        <v>34</v>
      </c>
      <c r="F9" s="456" t="s">
        <v>976</v>
      </c>
      <c r="G9" s="437" t="s">
        <v>137</v>
      </c>
      <c r="H9" s="445" t="s">
        <v>1</v>
      </c>
      <c r="I9" s="437"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14</v>
      </c>
      <c r="Z9" s="436" t="s">
        <v>1053</v>
      </c>
      <c r="AV9" t="s">
        <v>34</v>
      </c>
    </row>
    <row r="10" spans="4:53" ht="31.5" customHeight="1">
      <c r="D10" s="457"/>
      <c r="E10" s="457"/>
      <c r="F10" s="457"/>
      <c r="G10" s="438"/>
      <c r="H10" s="445"/>
      <c r="I10" s="457"/>
      <c r="J10" s="445"/>
      <c r="K10" s="445"/>
      <c r="L10" s="445"/>
      <c r="M10" s="445"/>
      <c r="N10" s="445"/>
      <c r="O10" s="445" t="s">
        <v>15</v>
      </c>
      <c r="P10" s="445"/>
      <c r="Q10" s="445"/>
      <c r="R10" s="445" t="s">
        <v>16</v>
      </c>
      <c r="S10" s="445"/>
      <c r="T10" s="457"/>
      <c r="U10" s="457"/>
      <c r="V10" s="445"/>
      <c r="W10" s="445"/>
      <c r="X10" s="445"/>
      <c r="Y10" s="445"/>
      <c r="Z10" s="445"/>
      <c r="AV10" t="s">
        <v>979</v>
      </c>
    </row>
    <row r="11" spans="4:53" ht="75">
      <c r="D11" s="458"/>
      <c r="E11" s="458"/>
      <c r="F11" s="458"/>
      <c r="G11" s="439"/>
      <c r="H11" s="445"/>
      <c r="I11" s="458"/>
      <c r="J11" s="445"/>
      <c r="K11" s="445"/>
      <c r="L11" s="445"/>
      <c r="M11" s="445"/>
      <c r="N11" s="445"/>
      <c r="O11" s="44" t="s">
        <v>17</v>
      </c>
      <c r="P11" s="44" t="s">
        <v>18</v>
      </c>
      <c r="Q11" s="44" t="s">
        <v>19</v>
      </c>
      <c r="R11" s="445"/>
      <c r="S11" s="445"/>
      <c r="T11" s="458"/>
      <c r="U11" s="458"/>
      <c r="V11" s="445"/>
      <c r="W11" s="44" t="s">
        <v>20</v>
      </c>
      <c r="X11" s="44" t="s">
        <v>21</v>
      </c>
      <c r="Y11" s="445"/>
      <c r="Z11" s="445"/>
    </row>
    <row r="12" spans="4:53" ht="24.7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3" s="11" customFormat="1" ht="25.5" hidden="1" customHeight="1">
      <c r="D13" s="104"/>
      <c r="E13" s="90"/>
      <c r="F13" s="90"/>
      <c r="G13" s="322"/>
      <c r="H13" s="10"/>
      <c r="I13" s="16"/>
      <c r="J13" s="16"/>
      <c r="K13" s="51"/>
      <c r="L13" s="51"/>
      <c r="M13" s="265" t="str">
        <f>+IFERROR(IF(COUNT(J13:L13),ROUND(SUM(J13:L13),0),""),"")</f>
        <v/>
      </c>
      <c r="N13" s="263" t="str">
        <f>+IFERROR(IF(COUNT(M13),ROUND(M13/'Shareholding Pattern'!$L$57*100,2),""),"")</f>
        <v/>
      </c>
      <c r="O13" s="308"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6"/>
      <c r="AC13" s="11">
        <f>IF(SUM(H13:Y13)&gt;0,1,0)</f>
        <v>0</v>
      </c>
      <c r="AD13" s="11">
        <f>SUM(AC21:AC65540)</f>
        <v>0</v>
      </c>
      <c r="AG13"/>
    </row>
    <row r="14" spans="4:53"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3" ht="22.5" customHeight="1">
      <c r="D15" s="104">
        <v>1</v>
      </c>
      <c r="E15" s="373" t="s">
        <v>1052</v>
      </c>
      <c r="F15" s="373" t="s">
        <v>34</v>
      </c>
      <c r="G15" s="322"/>
      <c r="H15" s="372"/>
      <c r="I15" s="51">
        <v>77</v>
      </c>
      <c r="J15" s="51">
        <v>217727</v>
      </c>
      <c r="K15" s="51"/>
      <c r="L15" s="51"/>
      <c r="M15" s="375">
        <f t="shared" ref="M15:M20" si="0">+IFERROR(IF(COUNT(J15:L15),ROUND(SUM(J15:L15),0),""),"")</f>
        <v>217727</v>
      </c>
      <c r="N15" s="264">
        <f>+IFERROR(IF(COUNT(M15),ROUND(M15/'Shareholding Pattern'!$L$57*100,2),""),"")</f>
        <v>2</v>
      </c>
      <c r="O15" s="51">
        <f t="shared" ref="O15:O20" si="1">IF(J15="","",J15)</f>
        <v>217727</v>
      </c>
      <c r="P15" s="51"/>
      <c r="Q15" s="375">
        <f t="shared" ref="Q15:Q20" si="2">+IFERROR(IF(COUNT(O15:P15),ROUND(SUM(O15,P15),2),""),"")</f>
        <v>217727</v>
      </c>
      <c r="R15" s="264">
        <f>+IFERROR(IF(COUNT(Q15),ROUND(Q15/('Shareholding Pattern'!$P$58)*100,2),""),"")</f>
        <v>2</v>
      </c>
      <c r="S15" s="51"/>
      <c r="T15" s="51"/>
      <c r="U15" s="375" t="str">
        <f t="shared" ref="U15:U20" si="3">+IFERROR(IF(COUNT(S15:T15),ROUND(SUM(S15:T15),0),""),"")</f>
        <v/>
      </c>
      <c r="V15" s="263">
        <f>+IFERROR(IF(COUNT(M15,U15),ROUND(SUM(U15,M15)/SUM('Shareholding Pattern'!$L$57,'Shareholding Pattern'!$T$57)*100,2),""),"")</f>
        <v>2</v>
      </c>
      <c r="W15" s="51"/>
      <c r="X15" s="213" t="str">
        <f t="shared" ref="X15:X20" si="4">+IFERROR(IF(COUNT(W15),ROUND(SUM(W15)/SUM(M15)*100,2),""),0)</f>
        <v/>
      </c>
      <c r="Y15" s="51">
        <v>217727</v>
      </c>
      <c r="Z15" s="316"/>
      <c r="AA15" s="11"/>
      <c r="AB15" s="11"/>
      <c r="AC15" s="11">
        <f t="shared" ref="AC15:AC20" si="5">IF(SUM(H15:Y15)&gt;0,1,0)</f>
        <v>1</v>
      </c>
    </row>
    <row r="16" spans="4:53" ht="22.5" customHeight="1">
      <c r="D16" s="104">
        <v>2</v>
      </c>
      <c r="E16" s="373" t="s">
        <v>1068</v>
      </c>
      <c r="F16" s="373" t="s">
        <v>34</v>
      </c>
      <c r="G16" s="322"/>
      <c r="H16" s="372"/>
      <c r="I16" s="51">
        <v>32</v>
      </c>
      <c r="J16" s="51">
        <v>162159</v>
      </c>
      <c r="K16" s="51"/>
      <c r="L16" s="51"/>
      <c r="M16" s="375">
        <f t="shared" si="0"/>
        <v>162159</v>
      </c>
      <c r="N16" s="264">
        <f>+IFERROR(IF(COUNT(M16),ROUND(M16/'Shareholding Pattern'!$L$57*100,2),""),"")</f>
        <v>1.49</v>
      </c>
      <c r="O16" s="51">
        <f t="shared" si="1"/>
        <v>162159</v>
      </c>
      <c r="P16" s="51"/>
      <c r="Q16" s="375">
        <f t="shared" si="2"/>
        <v>162159</v>
      </c>
      <c r="R16" s="264">
        <f>+IFERROR(IF(COUNT(Q16),ROUND(Q16/('Shareholding Pattern'!$P$58)*100,2),""),"")</f>
        <v>1.49</v>
      </c>
      <c r="S16" s="51"/>
      <c r="T16" s="51"/>
      <c r="U16" s="375" t="str">
        <f t="shared" si="3"/>
        <v/>
      </c>
      <c r="V16" s="263">
        <f>+IFERROR(IF(COUNT(M16,U16),ROUND(SUM(U16,M16)/SUM('Shareholding Pattern'!$L$57,'Shareholding Pattern'!$T$57)*100,2),""),"")</f>
        <v>1.49</v>
      </c>
      <c r="W16" s="51"/>
      <c r="X16" s="213" t="str">
        <f t="shared" si="4"/>
        <v/>
      </c>
      <c r="Y16" s="51">
        <v>38194</v>
      </c>
      <c r="Z16" s="316"/>
      <c r="AA16" s="11"/>
      <c r="AB16" s="11"/>
      <c r="AC16" s="11">
        <f t="shared" si="5"/>
        <v>1</v>
      </c>
    </row>
    <row r="17" spans="4:29" ht="22.5" customHeight="1">
      <c r="D17" s="104">
        <v>3</v>
      </c>
      <c r="E17" s="373" t="s">
        <v>1069</v>
      </c>
      <c r="F17" s="373" t="s">
        <v>34</v>
      </c>
      <c r="G17" s="322"/>
      <c r="H17" s="372"/>
      <c r="I17" s="51">
        <v>18</v>
      </c>
      <c r="J17" s="51">
        <v>72716</v>
      </c>
      <c r="K17" s="51"/>
      <c r="L17" s="51"/>
      <c r="M17" s="375">
        <f t="shared" si="0"/>
        <v>72716</v>
      </c>
      <c r="N17" s="264">
        <f>+IFERROR(IF(COUNT(M17),ROUND(M17/'Shareholding Pattern'!$L$57*100,2),""),"")</f>
        <v>0.67</v>
      </c>
      <c r="O17" s="51">
        <f t="shared" si="1"/>
        <v>72716</v>
      </c>
      <c r="P17" s="51"/>
      <c r="Q17" s="375">
        <f t="shared" si="2"/>
        <v>72716</v>
      </c>
      <c r="R17" s="264">
        <f>+IFERROR(IF(COUNT(Q17),ROUND(Q17/('Shareholding Pattern'!$P$58)*100,2),""),"")</f>
        <v>0.67</v>
      </c>
      <c r="S17" s="51"/>
      <c r="T17" s="51"/>
      <c r="U17" s="375" t="str">
        <f t="shared" si="3"/>
        <v/>
      </c>
      <c r="V17" s="263">
        <f>+IFERROR(IF(COUNT(M17,U17),ROUND(SUM(U17,M17)/SUM('Shareholding Pattern'!$L$57,'Shareholding Pattern'!$T$57)*100,2),""),"")</f>
        <v>0.67</v>
      </c>
      <c r="W17" s="51"/>
      <c r="X17" s="213" t="str">
        <f t="shared" si="4"/>
        <v/>
      </c>
      <c r="Y17" s="51">
        <v>72716</v>
      </c>
      <c r="Z17" s="316"/>
      <c r="AA17" s="11"/>
      <c r="AB17" s="11"/>
      <c r="AC17" s="11">
        <f t="shared" si="5"/>
        <v>1</v>
      </c>
    </row>
    <row r="18" spans="4:29" ht="22.5" customHeight="1">
      <c r="D18" s="104">
        <v>4</v>
      </c>
      <c r="E18" s="373" t="s">
        <v>1067</v>
      </c>
      <c r="F18" s="373" t="s">
        <v>34</v>
      </c>
      <c r="G18" s="322"/>
      <c r="H18" s="372"/>
      <c r="I18" s="51">
        <v>1</v>
      </c>
      <c r="J18" s="51">
        <v>850000</v>
      </c>
      <c r="K18" s="51"/>
      <c r="L18" s="51"/>
      <c r="M18" s="375">
        <f t="shared" si="0"/>
        <v>850000</v>
      </c>
      <c r="N18" s="264">
        <f>+IFERROR(IF(COUNT(M18),ROUND(M18/'Shareholding Pattern'!$L$57*100,2),""),"")</f>
        <v>7.81</v>
      </c>
      <c r="O18" s="51">
        <f t="shared" si="1"/>
        <v>850000</v>
      </c>
      <c r="P18" s="51"/>
      <c r="Q18" s="375">
        <f t="shared" si="2"/>
        <v>850000</v>
      </c>
      <c r="R18" s="264">
        <f>+IFERROR(IF(COUNT(Q18),ROUND(Q18/('Shareholding Pattern'!$P$58)*100,2),""),"")</f>
        <v>7.81</v>
      </c>
      <c r="S18" s="51"/>
      <c r="T18" s="51"/>
      <c r="U18" s="375" t="str">
        <f t="shared" si="3"/>
        <v/>
      </c>
      <c r="V18" s="263">
        <f>+IFERROR(IF(COUNT(M18,U18),ROUND(SUM(U18,M18)/SUM('Shareholding Pattern'!$L$57,'Shareholding Pattern'!$T$57)*100,2),""),"")</f>
        <v>7.81</v>
      </c>
      <c r="W18" s="51"/>
      <c r="X18" s="213" t="str">
        <f t="shared" si="4"/>
        <v/>
      </c>
      <c r="Y18" s="51">
        <v>0</v>
      </c>
      <c r="Z18" s="316"/>
      <c r="AA18" s="11"/>
      <c r="AB18" s="11"/>
      <c r="AC18" s="11">
        <f t="shared" si="5"/>
        <v>1</v>
      </c>
    </row>
    <row r="19" spans="4:29" ht="22.5" customHeight="1">
      <c r="D19" s="104">
        <v>5</v>
      </c>
      <c r="E19" s="373" t="s">
        <v>1067</v>
      </c>
      <c r="F19" s="373" t="s">
        <v>979</v>
      </c>
      <c r="G19" s="373" t="s">
        <v>1105</v>
      </c>
      <c r="H19" s="370" t="s">
        <v>1103</v>
      </c>
      <c r="I19" s="374">
        <v>1</v>
      </c>
      <c r="J19" s="51">
        <v>850000</v>
      </c>
      <c r="K19" s="51"/>
      <c r="L19" s="51"/>
      <c r="M19" s="375">
        <f t="shared" si="0"/>
        <v>850000</v>
      </c>
      <c r="N19" s="264">
        <f>+IFERROR(IF(COUNT(M19),ROUND(M19/'Shareholding Pattern'!$L$57*100,2),""),"")</f>
        <v>7.81</v>
      </c>
      <c r="O19" s="51">
        <f t="shared" si="1"/>
        <v>850000</v>
      </c>
      <c r="P19" s="51"/>
      <c r="Q19" s="375">
        <f t="shared" si="2"/>
        <v>850000</v>
      </c>
      <c r="R19" s="264">
        <f>+IFERROR(IF(COUNT(Q19),ROUND(Q19/('Shareholding Pattern'!$P$58)*100,2),""),"")</f>
        <v>7.81</v>
      </c>
      <c r="S19" s="51"/>
      <c r="T19" s="51"/>
      <c r="U19" s="375" t="str">
        <f t="shared" si="3"/>
        <v/>
      </c>
      <c r="V19" s="263">
        <f>+IFERROR(IF(COUNT(M19,U19),ROUND(SUM(U19,M19)/SUM('Shareholding Pattern'!$L$57,'Shareholding Pattern'!$T$57)*100,2),""),"")</f>
        <v>7.81</v>
      </c>
      <c r="W19" s="51"/>
      <c r="X19" s="213" t="str">
        <f t="shared" si="4"/>
        <v/>
      </c>
      <c r="Y19" s="51">
        <v>0</v>
      </c>
      <c r="Z19" s="316">
        <v>7</v>
      </c>
      <c r="AA19" s="11"/>
      <c r="AB19" s="11"/>
      <c r="AC19" s="11">
        <f t="shared" si="5"/>
        <v>1</v>
      </c>
    </row>
    <row r="20" spans="4:29" ht="22.5" customHeight="1">
      <c r="D20" s="104">
        <v>6</v>
      </c>
      <c r="E20" s="373" t="s">
        <v>939</v>
      </c>
      <c r="F20" s="373" t="s">
        <v>34</v>
      </c>
      <c r="G20" s="322"/>
      <c r="H20" s="372"/>
      <c r="I20" s="51">
        <v>8</v>
      </c>
      <c r="J20" s="51">
        <v>16046</v>
      </c>
      <c r="K20" s="51"/>
      <c r="L20" s="51"/>
      <c r="M20" s="375">
        <f t="shared" si="0"/>
        <v>16046</v>
      </c>
      <c r="N20" s="264">
        <f>+IFERROR(IF(COUNT(M20),ROUND(M20/'Shareholding Pattern'!$L$57*100,2),""),"")</f>
        <v>0.15</v>
      </c>
      <c r="O20" s="51">
        <f t="shared" si="1"/>
        <v>16046</v>
      </c>
      <c r="P20" s="51"/>
      <c r="Q20" s="375">
        <f t="shared" si="2"/>
        <v>16046</v>
      </c>
      <c r="R20" s="264">
        <f>+IFERROR(IF(COUNT(Q20),ROUND(Q20/('Shareholding Pattern'!$P$58)*100,2),""),"")</f>
        <v>0.15</v>
      </c>
      <c r="S20" s="51"/>
      <c r="T20" s="51"/>
      <c r="U20" s="375" t="str">
        <f t="shared" si="3"/>
        <v/>
      </c>
      <c r="V20" s="263">
        <f>+IFERROR(IF(COUNT(M20,U20),ROUND(SUM(U20,M20)/SUM('Shareholding Pattern'!$L$57,'Shareholding Pattern'!$T$57)*100,2),""),"")</f>
        <v>0.15</v>
      </c>
      <c r="W20" s="51"/>
      <c r="X20" s="213" t="str">
        <f t="shared" si="4"/>
        <v/>
      </c>
      <c r="Y20" s="51">
        <v>16046</v>
      </c>
      <c r="Z20" s="316"/>
      <c r="AA20" s="11"/>
      <c r="AB20" s="11"/>
      <c r="AC20" s="11">
        <f t="shared" si="5"/>
        <v>1</v>
      </c>
    </row>
    <row r="21" spans="4:29" ht="0.75" hidden="1" customHeight="1">
      <c r="D21" s="230"/>
      <c r="E21" s="18"/>
      <c r="F21" s="18"/>
      <c r="G21" s="18"/>
      <c r="H21" s="18"/>
      <c r="I21" s="18"/>
      <c r="J21" s="18"/>
      <c r="K21" s="228"/>
      <c r="L21" s="228"/>
      <c r="M21" s="18"/>
      <c r="N21" s="18"/>
      <c r="O21" s="228"/>
      <c r="P21" s="228"/>
      <c r="Q21" s="18"/>
      <c r="R21" s="18"/>
      <c r="S21" s="18"/>
      <c r="T21" s="18"/>
      <c r="U21" s="18"/>
      <c r="V21" s="18"/>
      <c r="W21" s="228"/>
      <c r="X21" s="18"/>
      <c r="Y21" s="229"/>
    </row>
    <row r="22" spans="4:29" ht="18.75" customHeight="1">
      <c r="D22" s="150"/>
      <c r="E22" s="39"/>
      <c r="F22" s="39"/>
      <c r="G22" s="64" t="s">
        <v>1002</v>
      </c>
      <c r="H22" s="64" t="s">
        <v>19</v>
      </c>
      <c r="I22" s="77">
        <f ca="1">+IFERROR(IF(COUNT(I13:I21),ROUND(SUMIF($F$13:I21,"Category",I13:I21),0),""),"")</f>
        <v>136</v>
      </c>
      <c r="J22" s="77">
        <f ca="1">+IFERROR(IF(COUNT(J13:J21),ROUND(SUMIF($F$13:J21,"Category",J13:J21),0),""),"")</f>
        <v>1318648</v>
      </c>
      <c r="K22" s="77" t="str">
        <f>+IFERROR(IF(COUNT(K13:K21),ROUND(SUMIF($F$13:K21,"Category",K13:K21),0),""),"")</f>
        <v/>
      </c>
      <c r="L22" s="77" t="str">
        <f>+IFERROR(IF(COUNT(L13:L21),ROUND(SUMIF($F$13:L21,"Category",L13:L21),0),""),"")</f>
        <v/>
      </c>
      <c r="M22" s="77">
        <f ca="1">+IFERROR(IF(COUNT(M13:M21),ROUND(SUMIF($F$13:M21,"Category",M13:M21),0),""),"")</f>
        <v>1318648</v>
      </c>
      <c r="N22" s="263">
        <f ca="1">+IFERROR(IF(COUNT(N13:N21),ROUND(SUMIF($F$13:N21,"Category",N13:N21),2),""),"")</f>
        <v>12.12</v>
      </c>
      <c r="O22" s="215">
        <f ca="1">+IFERROR(IF(COUNT(O13:O21),ROUND(SUMIF($F$13:O21,"Category",O13:O21),0),""),"")</f>
        <v>1318648</v>
      </c>
      <c r="P22" s="215" t="str">
        <f>+IFERROR(IF(COUNT(P13:P21),ROUND(SUMIF($F$13:P21,"Category",P13:P21),0),""),"")</f>
        <v/>
      </c>
      <c r="Q22" s="215">
        <f ca="1">+IFERROR(IF(COUNT(Q13:Q21),ROUND(SUMIF($F$13:Q21,"Category",Q13:Q21),0),""),"")</f>
        <v>1318648</v>
      </c>
      <c r="R22" s="263">
        <f ca="1">+IFERROR(IF(COUNT(R13:R21),ROUND(SUMIF($F$13:R21,"Category",R13:R21),2),""),"")</f>
        <v>12.12</v>
      </c>
      <c r="S22" s="77" t="str">
        <f>+IFERROR(IF(COUNT(S13:S21),ROUND(SUMIF($F$13:S21,"Category",S13:S21),0),""),"")</f>
        <v/>
      </c>
      <c r="T22" s="77" t="str">
        <f>+IFERROR(IF(COUNT(T13:T21),ROUND(SUMIF($F$13:T21,"Category",T13:T21),0),""),"")</f>
        <v/>
      </c>
      <c r="U22" s="77" t="str">
        <f>+IFERROR(IF(COUNT(U13:U21),ROUND(SUMIF($F$13:U21,"Category",U13:U21),0),""),"")</f>
        <v/>
      </c>
      <c r="V22" s="263">
        <f ca="1">+IFERROR(IF(COUNT(V13:V21),ROUND(SUMIF($F$13:V21,"Category",V13:V21),2),""),"")</f>
        <v>12.12</v>
      </c>
      <c r="W22" s="77" t="str">
        <f>+IFERROR(IF(COUNT(W13:W21),ROUND(SUMIF($F$13:W21,"Category",W13:W21),0),""),"")</f>
        <v/>
      </c>
      <c r="X22" s="263" t="str">
        <f>+IFERROR(IF(COUNT(W22),ROUND(SUM(W22)/SUM(M22)*100,2),""),0)</f>
        <v/>
      </c>
      <c r="Y22" s="77">
        <f ca="1">+IFERROR(IF(COUNT(Y13:Y21),ROUND(SUMIF($F$13:Y21,"Category",Y13:Y21),0),""),"")</f>
        <v>344683</v>
      </c>
    </row>
    <row r="25" spans="4:29">
      <c r="G25" s="117"/>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6">
    <dataValidation type="whole" operator="lessThanOrEqual" allowBlank="1" showInputMessage="1" showErrorMessage="1" sqref="W13 W15:W20">
      <formula1>J13</formula1>
    </dataValidation>
    <dataValidation type="whole" operator="lessThanOrEqual" allowBlank="1" showInputMessage="1" showErrorMessage="1" sqref="Y13 Y15:Y20">
      <formula1>M13</formula1>
    </dataValidation>
    <dataValidation type="whole" operator="greaterThanOrEqual" allowBlank="1" showInputMessage="1" showErrorMessage="1" sqref="O13:P13 S13:T13 J13:L13 J15:L20 O15:P20 S15:T20">
      <formula1>0</formula1>
    </dataValidation>
    <dataValidation type="textLength" operator="equal" allowBlank="1" showInputMessage="1" showErrorMessage="1" prompt="[A-Z][A-Z][A-Z][A-Z][A-Z][0-9][0-9][0-9][0-9][A-Z]&#10;&#10;In absence of PAN write : ZZZZZ9999Z" sqref="H13 H15:H20">
      <formula1>10</formula1>
    </dataValidation>
    <dataValidation type="list" allowBlank="1" showInputMessage="1" showErrorMessage="1" sqref="F13 F15:F20">
      <formula1>$AV$9:$AV$10</formula1>
    </dataValidation>
    <dataValidation type="list" allowBlank="1" showInputMessage="1" showErrorMessage="1" sqref="E13 E15:E20">
      <formula1>$AE$1:$BA$1</formula1>
    </dataValidation>
  </dataValidations>
  <hyperlinks>
    <hyperlink ref="H22" location="'Shareholding Pattern'!F48" display="Total"/>
    <hyperlink ref="G22"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7" t="s">
        <v>141</v>
      </c>
      <c r="D9" s="456" t="s">
        <v>34</v>
      </c>
      <c r="E9" s="445" t="s">
        <v>140</v>
      </c>
      <c r="F9" s="445" t="s">
        <v>137</v>
      </c>
      <c r="G9" s="445" t="s">
        <v>1</v>
      </c>
      <c r="H9" s="436" t="s">
        <v>961</v>
      </c>
      <c r="I9" s="445" t="s">
        <v>3</v>
      </c>
      <c r="J9" s="445" t="s">
        <v>4</v>
      </c>
      <c r="K9" s="445" t="s">
        <v>5</v>
      </c>
      <c r="L9" s="445" t="s">
        <v>6</v>
      </c>
      <c r="M9" s="445" t="s">
        <v>7</v>
      </c>
      <c r="N9" s="445" t="s">
        <v>8</v>
      </c>
      <c r="O9" s="445"/>
      <c r="P9" s="445"/>
      <c r="Q9" s="445"/>
      <c r="R9" s="445" t="s">
        <v>9</v>
      </c>
      <c r="S9" s="456" t="s">
        <v>1064</v>
      </c>
      <c r="T9" s="456" t="s">
        <v>135</v>
      </c>
      <c r="U9" s="445" t="s">
        <v>107</v>
      </c>
      <c r="V9" s="445" t="s">
        <v>12</v>
      </c>
      <c r="W9" s="445"/>
      <c r="X9" s="445" t="s">
        <v>14</v>
      </c>
      <c r="Y9" s="436" t="s">
        <v>1053</v>
      </c>
    </row>
    <row r="10" spans="3:30" ht="31.5" customHeight="1">
      <c r="C10" s="498"/>
      <c r="D10" s="457"/>
      <c r="E10" s="445"/>
      <c r="F10" s="445"/>
      <c r="G10" s="445"/>
      <c r="H10" s="445"/>
      <c r="I10" s="445"/>
      <c r="J10" s="445"/>
      <c r="K10" s="445"/>
      <c r="L10" s="445"/>
      <c r="M10" s="445"/>
      <c r="N10" s="445" t="s">
        <v>15</v>
      </c>
      <c r="O10" s="445"/>
      <c r="P10" s="445"/>
      <c r="Q10" s="445" t="s">
        <v>16</v>
      </c>
      <c r="R10" s="445"/>
      <c r="S10" s="457"/>
      <c r="T10" s="457"/>
      <c r="U10" s="445"/>
      <c r="V10" s="445"/>
      <c r="W10" s="445"/>
      <c r="X10" s="445"/>
      <c r="Y10" s="445"/>
    </row>
    <row r="11" spans="3:30" ht="78.75" customHeight="1">
      <c r="C11" s="499"/>
      <c r="D11" s="458"/>
      <c r="E11" s="445"/>
      <c r="F11" s="445"/>
      <c r="G11" s="445"/>
      <c r="H11" s="445"/>
      <c r="I11" s="445"/>
      <c r="J11" s="445"/>
      <c r="K11" s="445"/>
      <c r="L11" s="445"/>
      <c r="M11" s="445"/>
      <c r="N11" s="44" t="s">
        <v>17</v>
      </c>
      <c r="O11" s="44" t="s">
        <v>18</v>
      </c>
      <c r="P11" s="44" t="s">
        <v>19</v>
      </c>
      <c r="Q11" s="445"/>
      <c r="R11" s="445"/>
      <c r="S11" s="458"/>
      <c r="T11" s="458"/>
      <c r="U11" s="445"/>
      <c r="V11" s="44" t="s">
        <v>20</v>
      </c>
      <c r="W11" s="44" t="s">
        <v>21</v>
      </c>
      <c r="X11" s="445"/>
      <c r="Y11" s="445"/>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5">
        <v>1</v>
      </c>
      <c r="I13" s="16"/>
      <c r="J13" s="51"/>
      <c r="K13" s="51"/>
      <c r="L13" s="50" t="str">
        <f>+IFERROR(IF(COUNT(I13:K13),ROUND(SUM(I13:K13),0),""),"")</f>
        <v/>
      </c>
      <c r="M13" s="151"/>
      <c r="N13" s="307"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4"/>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8" t="str">
        <f>+IFERROR(IF(V16="","",(+IF(V16=0,0,IF(COUNT(V16,L16),ROUND(SUM(V16)/SUM(L16)*100,2),"")))),"")</f>
        <v/>
      </c>
      <c r="X16" s="57"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56" t="s">
        <v>138</v>
      </c>
      <c r="E9" s="445" t="s">
        <v>137</v>
      </c>
      <c r="F9" s="445" t="s">
        <v>1</v>
      </c>
      <c r="G9" s="436" t="s">
        <v>961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6" t="s">
        <v>1053</v>
      </c>
    </row>
    <row r="10" spans="4:30" ht="31.5" customHeight="1">
      <c r="D10" s="457"/>
      <c r="E10" s="445"/>
      <c r="F10" s="445"/>
      <c r="G10" s="445"/>
      <c r="H10" s="445"/>
      <c r="I10" s="445"/>
      <c r="J10" s="445"/>
      <c r="K10" s="445"/>
      <c r="L10" s="445"/>
      <c r="M10" s="445" t="s">
        <v>15</v>
      </c>
      <c r="N10" s="445"/>
      <c r="O10" s="445"/>
      <c r="P10" s="445" t="s">
        <v>16</v>
      </c>
      <c r="Q10" s="445"/>
      <c r="R10" s="457"/>
      <c r="S10" s="457"/>
      <c r="T10" s="445"/>
      <c r="U10" s="445"/>
      <c r="V10" s="445"/>
      <c r="W10" s="445"/>
      <c r="X10" s="445"/>
    </row>
    <row r="11" spans="4:30" ht="75">
      <c r="D11" s="458"/>
      <c r="E11" s="445"/>
      <c r="F11" s="445"/>
      <c r="G11" s="445"/>
      <c r="H11" s="445"/>
      <c r="I11" s="445"/>
      <c r="J11" s="445"/>
      <c r="K11" s="445"/>
      <c r="L11" s="445"/>
      <c r="M11" s="62" t="s">
        <v>17</v>
      </c>
      <c r="N11" s="62" t="s">
        <v>18</v>
      </c>
      <c r="O11" s="62" t="s">
        <v>19</v>
      </c>
      <c r="P11" s="445"/>
      <c r="Q11" s="445"/>
      <c r="R11" s="458"/>
      <c r="S11" s="458"/>
      <c r="T11" s="445"/>
      <c r="U11" s="62" t="s">
        <v>20</v>
      </c>
      <c r="V11" s="62" t="s">
        <v>21</v>
      </c>
      <c r="W11" s="445"/>
      <c r="X11" s="445"/>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6">
        <v>1</v>
      </c>
      <c r="H13" s="16"/>
      <c r="I13" s="51"/>
      <c r="J13" s="51"/>
      <c r="K13" s="52" t="str">
        <f>+IFERROR(IF(COUNT(H13:J13),ROUND(SUM(H13:J13),0),""),"")</f>
        <v/>
      </c>
      <c r="L13" s="17" t="str">
        <f>+IFERROR(IF(COUNT(K13),ROUND(K13/'Shareholding Pattern'!$L$57*100,2),""),"")</f>
        <v/>
      </c>
      <c r="M13" s="307"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4"/>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0" t="s">
        <v>975</v>
      </c>
      <c r="F9" s="431"/>
      <c r="G9" s="431"/>
      <c r="H9" s="431"/>
      <c r="I9" s="432"/>
      <c r="J9" s="116"/>
    </row>
    <row r="10" spans="5:10">
      <c r="E10" s="456" t="s">
        <v>138</v>
      </c>
      <c r="F10" s="437" t="s">
        <v>145</v>
      </c>
      <c r="G10" s="437" t="s">
        <v>146</v>
      </c>
      <c r="H10" s="437" t="s">
        <v>886</v>
      </c>
      <c r="I10" s="437" t="s">
        <v>889</v>
      </c>
      <c r="J10" s="116"/>
    </row>
    <row r="11" spans="5:10">
      <c r="E11" s="500"/>
      <c r="F11" s="438"/>
      <c r="G11" s="457"/>
      <c r="H11" s="438"/>
      <c r="I11" s="438"/>
      <c r="J11" s="116"/>
    </row>
    <row r="12" spans="5:10">
      <c r="E12" s="501"/>
      <c r="F12" s="439"/>
      <c r="G12" s="458"/>
      <c r="H12" s="439"/>
      <c r="I12" s="439"/>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7</v>
      </c>
    </row>
    <row r="2" spans="2:5">
      <c r="B2" s="97"/>
    </row>
    <row r="3" spans="2:5">
      <c r="B3" s="97" t="s">
        <v>1072</v>
      </c>
    </row>
    <row r="4" spans="2:5">
      <c r="B4" s="97" t="s">
        <v>1073</v>
      </c>
    </row>
    <row r="5" spans="2:5">
      <c r="B5" s="97" t="s">
        <v>1074</v>
      </c>
    </row>
    <row r="6" spans="2:5">
      <c r="B6" s="97" t="s">
        <v>1073</v>
      </c>
    </row>
    <row r="7" spans="2:5">
      <c r="B7" s="97" t="s">
        <v>1104</v>
      </c>
    </row>
    <row r="8" spans="2:5">
      <c r="B8" s="97"/>
    </row>
    <row r="9" spans="2:5">
      <c r="B9" s="97"/>
    </row>
    <row r="10" spans="2:5">
      <c r="B10" s="97"/>
    </row>
    <row r="11" spans="2:5">
      <c r="B11" s="97"/>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0" t="s">
        <v>963</v>
      </c>
      <c r="F9" s="431"/>
      <c r="G9" s="431"/>
      <c r="H9" s="432"/>
    </row>
    <row r="10" spans="5:9">
      <c r="E10" s="456" t="s">
        <v>138</v>
      </c>
      <c r="F10" s="437" t="s">
        <v>147</v>
      </c>
      <c r="G10" s="437" t="s">
        <v>148</v>
      </c>
      <c r="H10" s="437" t="s">
        <v>149</v>
      </c>
    </row>
    <row r="11" spans="5:9">
      <c r="E11" s="502"/>
      <c r="F11" s="438"/>
      <c r="G11" s="457"/>
      <c r="H11" s="438"/>
    </row>
    <row r="12" spans="5:9">
      <c r="E12" s="503"/>
      <c r="F12" s="439"/>
      <c r="G12" s="458"/>
      <c r="H12" s="439"/>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0" t="s">
        <v>964</v>
      </c>
      <c r="F9" s="431"/>
      <c r="G9" s="431"/>
      <c r="H9" s="431"/>
      <c r="I9" s="119"/>
    </row>
    <row r="10" spans="5:9">
      <c r="E10" s="456" t="s">
        <v>138</v>
      </c>
      <c r="F10" s="437" t="s">
        <v>145</v>
      </c>
      <c r="G10" s="437" t="s">
        <v>146</v>
      </c>
      <c r="H10" s="437" t="s">
        <v>150</v>
      </c>
      <c r="I10" s="504" t="s">
        <v>918</v>
      </c>
    </row>
    <row r="11" spans="5:9">
      <c r="E11" s="502"/>
      <c r="F11" s="438"/>
      <c r="G11" s="457"/>
      <c r="H11" s="438"/>
      <c r="I11" s="505"/>
    </row>
    <row r="12" spans="5:9">
      <c r="E12" s="503"/>
      <c r="F12" s="439"/>
      <c r="G12" s="458"/>
      <c r="H12" s="439"/>
      <c r="I12" s="506"/>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2018-01-12T08:54:33Z</dcterms:modified>
</cp:coreProperties>
</file>